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8_{E316799A-7669-4AD6-B4B6-B576980E5DCC}" xr6:coauthVersionLast="43" xr6:coauthVersionMax="43" xr10:uidLastSave="{00000000-0000-0000-0000-000000000000}"/>
  <bookViews>
    <workbookView xWindow="-120" yWindow="-120" windowWidth="29040" windowHeight="15840" activeTab="15" xr2:uid="{00000000-000D-0000-FFFF-FFFF00000000}"/>
  </bookViews>
  <sheets>
    <sheet name="гаг8" sheetId="5" r:id="rId1"/>
    <sheet name="гаг11" sheetId="2" r:id="rId2"/>
    <sheet name="гаг12" sheetId="3" r:id="rId3"/>
    <sheet name="гаг14" sheetId="4" r:id="rId4"/>
    <sheet name="гаг15" sheetId="6" r:id="rId5"/>
    <sheet name="гаг16" sheetId="7" r:id="rId6"/>
    <sheet name="гаг17" sheetId="1" r:id="rId7"/>
    <sheet name="гаг18" sheetId="8" r:id="rId8"/>
    <sheet name="гаг21" sheetId="9" r:id="rId9"/>
    <sheet name="кирг8" sheetId="10" r:id="rId10"/>
    <sheet name="кирг14" sheetId="11" r:id="rId11"/>
    <sheet name="кирг20" sheetId="12" r:id="rId12"/>
    <sheet name="кирг21" sheetId="13" r:id="rId13"/>
    <sheet name="кирг23" sheetId="14" r:id="rId14"/>
    <sheet name="кирг24" sheetId="15" r:id="rId15"/>
    <sheet name="кирг25" sheetId="16" r:id="rId16"/>
    <sheet name="7арм6" sheetId="18" r:id="rId17"/>
    <sheet name="7арм9" sheetId="17" r:id="rId18"/>
    <sheet name="25окт37" sheetId="19" r:id="rId19"/>
    <sheet name="25окт41" sheetId="20" r:id="rId20"/>
    <sheet name="25окт46" sheetId="21" r:id="rId21"/>
    <sheet name="25окт50" sheetId="22" r:id="rId22"/>
    <sheet name="изот3" sheetId="25" r:id="rId23"/>
    <sheet name="изот3А" sheetId="24" r:id="rId24"/>
    <sheet name="изот3Б" sheetId="23" r:id="rId25"/>
    <sheet name="Конст3" sheetId="26" r:id="rId26"/>
    <sheet name="конст4" sheetId="27" r:id="rId27"/>
    <sheet name="конст5" sheetId="28" r:id="rId28"/>
    <sheet name="Рощ13" sheetId="29" r:id="rId29"/>
    <sheet name="рощ15" sheetId="30" r:id="rId30"/>
    <sheet name="рощ19" sheetId="31" r:id="rId31"/>
    <sheet name="рощ21" sheetId="32" r:id="rId32"/>
    <sheet name="круп8" sheetId="33" r:id="rId33"/>
    <sheet name="круп9" sheetId="34" r:id="rId34"/>
    <sheet name="подр11" sheetId="35" r:id="rId35"/>
    <sheet name="подр14" sheetId="36" r:id="rId36"/>
    <sheet name="подр16" sheetId="37" r:id="rId37"/>
    <sheet name="фил4" sheetId="38" r:id="rId38"/>
  </sheets>
  <calcPr calcId="181029"/>
</workbook>
</file>

<file path=xl/calcChain.xml><?xml version="1.0" encoding="utf-8"?>
<calcChain xmlns="http://schemas.openxmlformats.org/spreadsheetml/2006/main">
  <c r="J16" i="29" l="1"/>
  <c r="F14" i="28"/>
  <c r="D14" i="28"/>
  <c r="G6" i="24"/>
  <c r="G7" i="24"/>
  <c r="F14" i="24"/>
  <c r="D14" i="24"/>
  <c r="F16" i="19"/>
  <c r="G5" i="2"/>
  <c r="G7" i="2"/>
  <c r="G8" i="2"/>
  <c r="G9" i="2"/>
  <c r="G10" i="2"/>
  <c r="G12" i="2"/>
  <c r="G5" i="26"/>
  <c r="G5" i="22"/>
  <c r="G7" i="22"/>
  <c r="G8" i="22"/>
  <c r="G9" i="22"/>
  <c r="E10" i="22"/>
  <c r="F10" i="22"/>
  <c r="G10" i="22" s="1"/>
  <c r="G6" i="21"/>
  <c r="G8" i="21"/>
  <c r="G11" i="21"/>
  <c r="G4" i="21"/>
  <c r="D4" i="21"/>
  <c r="F4" i="21" s="1"/>
  <c r="D10" i="21"/>
  <c r="F10" i="21" s="1"/>
  <c r="G10" i="21" s="1"/>
  <c r="D12" i="21"/>
  <c r="F12" i="21" s="1"/>
  <c r="G12" i="21" s="1"/>
  <c r="D5" i="21"/>
  <c r="F5" i="21" s="1"/>
  <c r="G5" i="21" s="1"/>
  <c r="E9" i="21"/>
  <c r="E5" i="21" s="1"/>
  <c r="F9" i="21"/>
  <c r="G9" i="21" s="1"/>
  <c r="D9" i="21"/>
  <c r="G6" i="18"/>
  <c r="G7" i="18"/>
  <c r="G8" i="18"/>
  <c r="G7" i="16"/>
  <c r="J8" i="14"/>
  <c r="G8" i="14"/>
  <c r="E7" i="10"/>
  <c r="D7" i="10"/>
  <c r="K13" i="21" l="1"/>
  <c r="M13" i="21"/>
  <c r="D7" i="9" l="1"/>
  <c r="F7" i="9" s="1"/>
  <c r="G6" i="9"/>
  <c r="G6" i="34" l="1"/>
  <c r="G8" i="34"/>
  <c r="D9" i="31"/>
  <c r="D5" i="31" s="1"/>
  <c r="F5" i="31" s="1"/>
  <c r="G5" i="31" s="1"/>
  <c r="D9" i="34"/>
  <c r="D7" i="34"/>
  <c r="D5" i="34"/>
  <c r="D4" i="34"/>
  <c r="G6" i="38"/>
  <c r="D12" i="38"/>
  <c r="F12" i="38" s="1"/>
  <c r="G12" i="38" s="1"/>
  <c r="D10" i="38"/>
  <c r="F10" i="38" s="1"/>
  <c r="G10" i="38" s="1"/>
  <c r="D5" i="38"/>
  <c r="F5" i="38" s="1"/>
  <c r="G5" i="38" s="1"/>
  <c r="D4" i="38"/>
  <c r="F4" i="38" s="1"/>
  <c r="G4" i="38" s="1"/>
  <c r="D7" i="38"/>
  <c r="F7" i="38" s="1"/>
  <c r="G7" i="38" s="1"/>
  <c r="D15" i="38"/>
  <c r="F15" i="38" s="1"/>
  <c r="F16" i="38" s="1"/>
  <c r="F14" i="38"/>
  <c r="C40" i="38"/>
  <c r="C39" i="32"/>
  <c r="G14" i="32"/>
  <c r="G6" i="32"/>
  <c r="F13" i="32"/>
  <c r="D11" i="32"/>
  <c r="F11" i="32" s="1"/>
  <c r="G11" i="32" s="1"/>
  <c r="D5" i="32"/>
  <c r="F5" i="32" s="1"/>
  <c r="G5" i="32" s="1"/>
  <c r="D4" i="32"/>
  <c r="F4" i="32" s="1"/>
  <c r="G4" i="32" s="1"/>
  <c r="D7" i="32"/>
  <c r="F7" i="32" s="1"/>
  <c r="G7" i="32" s="1"/>
  <c r="D14" i="32"/>
  <c r="F14" i="32" s="1"/>
  <c r="F15" i="32" s="1"/>
  <c r="G6" i="31"/>
  <c r="G9" i="31"/>
  <c r="D4" i="31"/>
  <c r="F4" i="31" s="1"/>
  <c r="G4" i="31" s="1"/>
  <c r="D10" i="31"/>
  <c r="F10" i="31" s="1"/>
  <c r="G10" i="31" s="1"/>
  <c r="G8" i="31"/>
  <c r="F7" i="31"/>
  <c r="G7" i="31" s="1"/>
  <c r="F14" i="31"/>
  <c r="D15" i="31"/>
  <c r="C40" i="31"/>
  <c r="D7" i="31"/>
  <c r="F12" i="30"/>
  <c r="D10" i="30"/>
  <c r="F10" i="30" s="1"/>
  <c r="D5" i="30"/>
  <c r="F5" i="30" s="1"/>
  <c r="D12" i="30"/>
  <c r="D4" i="30"/>
  <c r="F4" i="30" s="1"/>
  <c r="C40" i="30"/>
  <c r="F14" i="30"/>
  <c r="D14" i="30"/>
  <c r="D15" i="30"/>
  <c r="F15" i="30" s="1"/>
  <c r="F16" i="30" s="1"/>
  <c r="G6" i="30"/>
  <c r="G7" i="30"/>
  <c r="G8" i="30"/>
  <c r="G11" i="30"/>
  <c r="C40" i="29"/>
  <c r="D10" i="29"/>
  <c r="F10" i="29" s="1"/>
  <c r="D5" i="29"/>
  <c r="F5" i="29" s="1"/>
  <c r="D4" i="29"/>
  <c r="F4" i="29" s="1"/>
  <c r="F14" i="29"/>
  <c r="D14" i="29"/>
  <c r="F15" i="29"/>
  <c r="D15" i="29"/>
  <c r="F11" i="34"/>
  <c r="D11" i="34"/>
  <c r="F12" i="34"/>
  <c r="F13" i="34" s="1"/>
  <c r="D12" i="34"/>
  <c r="C37" i="34"/>
  <c r="D9" i="33"/>
  <c r="F9" i="33" s="1"/>
  <c r="D5" i="33"/>
  <c r="F5" i="33" s="1"/>
  <c r="D4" i="33"/>
  <c r="F4" i="33" s="1"/>
  <c r="D11" i="33"/>
  <c r="F11" i="33" s="1"/>
  <c r="E7" i="33"/>
  <c r="F7" i="33"/>
  <c r="D7" i="33"/>
  <c r="E8" i="33"/>
  <c r="F8" i="33"/>
  <c r="D8" i="33"/>
  <c r="C39" i="33"/>
  <c r="G10" i="33"/>
  <c r="F14" i="33"/>
  <c r="D14" i="33"/>
  <c r="F13" i="33"/>
  <c r="D13" i="33"/>
  <c r="C38" i="37"/>
  <c r="D10" i="37"/>
  <c r="F10" i="37" s="1"/>
  <c r="D8" i="37"/>
  <c r="F8" i="37" s="1"/>
  <c r="D5" i="37"/>
  <c r="F5" i="37" s="1"/>
  <c r="D4" i="37"/>
  <c r="F4" i="37" s="1"/>
  <c r="L11" i="37" s="1"/>
  <c r="E6" i="37"/>
  <c r="F6" i="37"/>
  <c r="D6" i="37"/>
  <c r="D13" i="37"/>
  <c r="F13" i="37" s="1"/>
  <c r="D12" i="37"/>
  <c r="G6" i="36"/>
  <c r="G7" i="36"/>
  <c r="G10" i="36"/>
  <c r="F11" i="36"/>
  <c r="G11" i="36" s="1"/>
  <c r="C39" i="36"/>
  <c r="D4" i="36"/>
  <c r="F4" i="36" s="1"/>
  <c r="G4" i="36" s="1"/>
  <c r="D11" i="36"/>
  <c r="D9" i="36"/>
  <c r="F9" i="36" s="1"/>
  <c r="G9" i="36" s="1"/>
  <c r="D5" i="36"/>
  <c r="F5" i="36" s="1"/>
  <c r="G5" i="36" s="1"/>
  <c r="D14" i="36"/>
  <c r="F13" i="36"/>
  <c r="D13" i="36"/>
  <c r="C39" i="35"/>
  <c r="G6" i="35"/>
  <c r="G7" i="35"/>
  <c r="G9" i="35"/>
  <c r="G10" i="35"/>
  <c r="F5" i="35"/>
  <c r="G5" i="35" s="1"/>
  <c r="D4" i="35"/>
  <c r="F4" i="35" s="1"/>
  <c r="G4" i="35" s="1"/>
  <c r="D9" i="35"/>
  <c r="F9" i="35" s="1"/>
  <c r="D5" i="35"/>
  <c r="F13" i="35"/>
  <c r="D13" i="35"/>
  <c r="D14" i="35"/>
  <c r="F14" i="35" s="1"/>
  <c r="G14" i="35" s="1"/>
  <c r="D11" i="35"/>
  <c r="F11" i="35" s="1"/>
  <c r="G11" i="35" s="1"/>
  <c r="D28" i="38"/>
  <c r="D26" i="37"/>
  <c r="D27" i="36"/>
  <c r="D27" i="35"/>
  <c r="D25" i="34"/>
  <c r="D27" i="33"/>
  <c r="D27" i="32"/>
  <c r="D28" i="31"/>
  <c r="D28" i="30"/>
  <c r="D28" i="29"/>
  <c r="F14" i="16"/>
  <c r="F15" i="16" s="1"/>
  <c r="D14" i="16"/>
  <c r="F13" i="16"/>
  <c r="D13" i="16"/>
  <c r="D5" i="16"/>
  <c r="F5" i="16" s="1"/>
  <c r="D4" i="16"/>
  <c r="F4" i="16" s="1"/>
  <c r="C39" i="16"/>
  <c r="D11" i="16"/>
  <c r="F11" i="16" s="1"/>
  <c r="D9" i="16"/>
  <c r="F9" i="16" s="1"/>
  <c r="G6" i="16"/>
  <c r="G8" i="16"/>
  <c r="D27" i="16"/>
  <c r="C40" i="15"/>
  <c r="F5" i="15"/>
  <c r="D6" i="15"/>
  <c r="F6" i="15" s="1"/>
  <c r="D4" i="15"/>
  <c r="F4" i="15" s="1"/>
  <c r="D12" i="15"/>
  <c r="F12" i="15" s="1"/>
  <c r="D10" i="15"/>
  <c r="F10" i="15" s="1"/>
  <c r="F14" i="15"/>
  <c r="D15" i="15"/>
  <c r="F15" i="15" s="1"/>
  <c r="G15" i="15" s="1"/>
  <c r="D28" i="15"/>
  <c r="C40" i="14"/>
  <c r="F10" i="14"/>
  <c r="D6" i="14"/>
  <c r="D4" i="14"/>
  <c r="F4" i="14" s="1"/>
  <c r="D10" i="14"/>
  <c r="D12" i="14"/>
  <c r="F12" i="14" s="1"/>
  <c r="G5" i="14"/>
  <c r="F15" i="14"/>
  <c r="F16" i="14" s="1"/>
  <c r="D15" i="14"/>
  <c r="D28" i="14"/>
  <c r="D14" i="13"/>
  <c r="F14" i="13" s="1"/>
  <c r="F13" i="13"/>
  <c r="D13" i="13"/>
  <c r="F5" i="13"/>
  <c r="D5" i="13"/>
  <c r="G6" i="13"/>
  <c r="G7" i="13"/>
  <c r="G10" i="13"/>
  <c r="D11" i="13"/>
  <c r="F11" i="13" s="1"/>
  <c r="G11" i="13" s="1"/>
  <c r="D9" i="13"/>
  <c r="F9" i="13" s="1"/>
  <c r="G9" i="13" s="1"/>
  <c r="D4" i="13"/>
  <c r="F4" i="13" s="1"/>
  <c r="G4" i="13" s="1"/>
  <c r="D27" i="13"/>
  <c r="C39" i="12"/>
  <c r="F13" i="12"/>
  <c r="D13" i="12"/>
  <c r="D5" i="12"/>
  <c r="F5" i="12" s="1"/>
  <c r="D11" i="12"/>
  <c r="F11" i="12" s="1"/>
  <c r="D9" i="12"/>
  <c r="F9" i="12" s="1"/>
  <c r="D4" i="12"/>
  <c r="F4" i="12" s="1"/>
  <c r="F14" i="12"/>
  <c r="G14" i="12" s="1"/>
  <c r="D14" i="12"/>
  <c r="D27" i="12"/>
  <c r="H16" i="11"/>
  <c r="C40" i="11"/>
  <c r="F14" i="11"/>
  <c r="G6" i="11"/>
  <c r="G7" i="11"/>
  <c r="G8" i="11"/>
  <c r="G9" i="11"/>
  <c r="G11" i="11"/>
  <c r="F10" i="11"/>
  <c r="G10" i="11" s="1"/>
  <c r="F4" i="11"/>
  <c r="G4" i="11" s="1"/>
  <c r="D4" i="11"/>
  <c r="D5" i="11"/>
  <c r="L13" i="11" s="1"/>
  <c r="D10" i="11"/>
  <c r="D12" i="11"/>
  <c r="F12" i="11" s="1"/>
  <c r="G12" i="11" s="1"/>
  <c r="D14" i="11"/>
  <c r="D15" i="11"/>
  <c r="F15" i="11" s="1"/>
  <c r="G15" i="11" s="1"/>
  <c r="D28" i="11"/>
  <c r="C40" i="10"/>
  <c r="F10" i="10"/>
  <c r="D5" i="10"/>
  <c r="F5" i="10" s="1"/>
  <c r="G9" i="10"/>
  <c r="D12" i="10"/>
  <c r="F12" i="10" s="1"/>
  <c r="D10" i="10"/>
  <c r="D4" i="10"/>
  <c r="F4" i="10" s="1"/>
  <c r="F14" i="10"/>
  <c r="D15" i="10"/>
  <c r="F15" i="10" s="1"/>
  <c r="D14" i="10"/>
  <c r="D28" i="10"/>
  <c r="D30" i="9"/>
  <c r="D4" i="23"/>
  <c r="F4" i="23" s="1"/>
  <c r="D12" i="23"/>
  <c r="F12" i="23" s="1"/>
  <c r="D6" i="23"/>
  <c r="D11" i="23"/>
  <c r="F11" i="23" s="1"/>
  <c r="F6" i="23"/>
  <c r="D15" i="23"/>
  <c r="F14" i="23"/>
  <c r="D14" i="23"/>
  <c r="F5" i="23"/>
  <c r="G5" i="23" s="1"/>
  <c r="I5" i="23"/>
  <c r="G7" i="23"/>
  <c r="G8" i="23"/>
  <c r="D28" i="23"/>
  <c r="F10" i="24"/>
  <c r="G10" i="24" s="1"/>
  <c r="D4" i="24"/>
  <c r="F4" i="24" s="1"/>
  <c r="G4" i="24" s="1"/>
  <c r="D5" i="24"/>
  <c r="F5" i="24" s="1"/>
  <c r="G5" i="24" s="1"/>
  <c r="D15" i="24"/>
  <c r="D12" i="24"/>
  <c r="K13" i="24" s="1"/>
  <c r="D10" i="24"/>
  <c r="D28" i="24"/>
  <c r="D4" i="25"/>
  <c r="F4" i="25" s="1"/>
  <c r="D5" i="25"/>
  <c r="F5" i="25" s="1"/>
  <c r="D14" i="25"/>
  <c r="F13" i="25"/>
  <c r="D13" i="25"/>
  <c r="G6" i="25"/>
  <c r="G7" i="25"/>
  <c r="G8" i="25"/>
  <c r="D27" i="25"/>
  <c r="F5" i="9"/>
  <c r="G5" i="9" s="1"/>
  <c r="D12" i="9"/>
  <c r="F12" i="9" s="1"/>
  <c r="F16" i="9"/>
  <c r="H18" i="9"/>
  <c r="D17" i="9"/>
  <c r="F17" i="9" s="1"/>
  <c r="D16" i="9"/>
  <c r="F18" i="9" l="1"/>
  <c r="G17" i="9"/>
  <c r="G14" i="13"/>
  <c r="F15" i="13"/>
  <c r="G12" i="35"/>
  <c r="G15" i="35" s="1"/>
  <c r="F14" i="37"/>
  <c r="G13" i="37"/>
  <c r="F16" i="10"/>
  <c r="G15" i="10"/>
  <c r="F12" i="24"/>
  <c r="F15" i="12"/>
  <c r="L12" i="13"/>
  <c r="K13" i="14"/>
  <c r="L12" i="16"/>
  <c r="G15" i="14"/>
  <c r="F15" i="35"/>
  <c r="F16" i="11"/>
  <c r="G14" i="33"/>
  <c r="F15" i="33"/>
  <c r="G15" i="29"/>
  <c r="F16" i="29"/>
  <c r="F5" i="11"/>
  <c r="G5" i="11" s="1"/>
  <c r="G13" i="11" s="1"/>
  <c r="G16" i="11" s="1"/>
  <c r="F6" i="14"/>
  <c r="L13" i="14" s="1"/>
  <c r="L13" i="15"/>
  <c r="F16" i="15"/>
  <c r="M12" i="12"/>
  <c r="L12" i="12"/>
  <c r="G12" i="34"/>
  <c r="G12" i="36"/>
  <c r="L13" i="23"/>
  <c r="K13" i="23"/>
  <c r="K13" i="38"/>
  <c r="G15" i="38"/>
  <c r="G15" i="30"/>
  <c r="K13" i="30"/>
  <c r="K12" i="33"/>
  <c r="K11" i="37"/>
  <c r="K12" i="36"/>
  <c r="K12" i="35"/>
  <c r="K13" i="15"/>
  <c r="K13" i="10"/>
  <c r="M13" i="11" l="1"/>
  <c r="G12" i="24"/>
  <c r="L13" i="24"/>
  <c r="C41" i="8"/>
  <c r="G7" i="8"/>
  <c r="G8" i="8"/>
  <c r="G9" i="8"/>
  <c r="G10" i="8"/>
  <c r="G12" i="8"/>
  <c r="F17" i="8"/>
  <c r="G16" i="8"/>
  <c r="F16" i="8"/>
  <c r="D16" i="8"/>
  <c r="F15" i="8"/>
  <c r="D15" i="8"/>
  <c r="F6" i="8"/>
  <c r="G6" i="8" s="1"/>
  <c r="F4" i="8"/>
  <c r="D4" i="8"/>
  <c r="D6" i="8"/>
  <c r="D13" i="8"/>
  <c r="F13" i="8" s="1"/>
  <c r="G13" i="8" s="1"/>
  <c r="D11" i="8"/>
  <c r="F11" i="8" s="1"/>
  <c r="G11" i="8" s="1"/>
  <c r="F5" i="8"/>
  <c r="G5" i="8" s="1"/>
  <c r="D29" i="8"/>
  <c r="F15" i="1"/>
  <c r="D15" i="1"/>
  <c r="F4" i="1"/>
  <c r="F13" i="1"/>
  <c r="D11" i="1"/>
  <c r="F11" i="1" s="1"/>
  <c r="F5" i="1"/>
  <c r="G5" i="1" s="1"/>
  <c r="D6" i="1"/>
  <c r="F6" i="1" s="1"/>
  <c r="D13" i="1"/>
  <c r="K14" i="1" s="1"/>
  <c r="D4" i="1"/>
  <c r="G16" i="1"/>
  <c r="F16" i="1"/>
  <c r="F17" i="1" s="1"/>
  <c r="D16" i="1"/>
  <c r="D29" i="1"/>
  <c r="C41" i="7"/>
  <c r="D4" i="7"/>
  <c r="D11" i="7"/>
  <c r="D6" i="7"/>
  <c r="F6" i="7" s="1"/>
  <c r="G5" i="7"/>
  <c r="G8" i="7"/>
  <c r="G10" i="7"/>
  <c r="G12" i="7"/>
  <c r="G4" i="7"/>
  <c r="F15" i="7"/>
  <c r="D15" i="7"/>
  <c r="G16" i="7"/>
  <c r="F16" i="7"/>
  <c r="F17" i="7" s="1"/>
  <c r="D16" i="7"/>
  <c r="D29" i="7"/>
  <c r="D15" i="6"/>
  <c r="F15" i="6"/>
  <c r="G5" i="6"/>
  <c r="G7" i="6"/>
  <c r="G8" i="6"/>
  <c r="G9" i="6"/>
  <c r="G10" i="6"/>
  <c r="D11" i="6"/>
  <c r="D6" i="6"/>
  <c r="F16" i="6"/>
  <c r="F17" i="6" s="1"/>
  <c r="D16" i="6"/>
  <c r="D29" i="6"/>
  <c r="D28" i="4"/>
  <c r="G15" i="4"/>
  <c r="F15" i="4"/>
  <c r="F16" i="4" s="1"/>
  <c r="D15" i="4"/>
  <c r="D16" i="4" s="1"/>
  <c r="G5" i="4"/>
  <c r="G7" i="4"/>
  <c r="G8" i="4"/>
  <c r="G9" i="4"/>
  <c r="G11" i="4"/>
  <c r="D10" i="4"/>
  <c r="F10" i="4" s="1"/>
  <c r="F6" i="3"/>
  <c r="F4" i="3"/>
  <c r="D4" i="3"/>
  <c r="D13" i="3"/>
  <c r="F13" i="3" s="1"/>
  <c r="D11" i="3"/>
  <c r="F11" i="3" s="1"/>
  <c r="D6" i="3"/>
  <c r="K14" i="3" s="1"/>
  <c r="F15" i="3"/>
  <c r="D15" i="3"/>
  <c r="F16" i="3"/>
  <c r="F17" i="3" s="1"/>
  <c r="D16" i="3"/>
  <c r="G5" i="3"/>
  <c r="D29" i="3"/>
  <c r="D11" i="2"/>
  <c r="F11" i="2" s="1"/>
  <c r="G11" i="2" s="1"/>
  <c r="D6" i="2"/>
  <c r="F6" i="2" s="1"/>
  <c r="G6" i="2" s="1"/>
  <c r="D15" i="2"/>
  <c r="D16" i="2"/>
  <c r="F16" i="2" s="1"/>
  <c r="D29" i="2"/>
  <c r="F15" i="5"/>
  <c r="D15" i="5"/>
  <c r="G10" i="5"/>
  <c r="G8" i="5"/>
  <c r="G9" i="5"/>
  <c r="G7" i="5"/>
  <c r="F12" i="5"/>
  <c r="G12" i="5" s="1"/>
  <c r="D4" i="5"/>
  <c r="F4" i="5" s="1"/>
  <c r="G5" i="5"/>
  <c r="D13" i="5"/>
  <c r="F13" i="5" s="1"/>
  <c r="G13" i="5" s="1"/>
  <c r="D11" i="5"/>
  <c r="F11" i="5" s="1"/>
  <c r="G11" i="5" s="1"/>
  <c r="D6" i="5"/>
  <c r="F6" i="5" s="1"/>
  <c r="D16" i="5"/>
  <c r="D29" i="5"/>
  <c r="F6" i="28"/>
  <c r="F11" i="28"/>
  <c r="F12" i="28"/>
  <c r="F4" i="28"/>
  <c r="D12" i="28"/>
  <c r="D10" i="28"/>
  <c r="F10" i="28" s="1"/>
  <c r="D8" i="28"/>
  <c r="F8" i="28" s="1"/>
  <c r="D9" i="28"/>
  <c r="D5" i="28" s="1"/>
  <c r="K13" i="28" s="1"/>
  <c r="D7" i="28"/>
  <c r="F7" i="28" s="1"/>
  <c r="D4" i="28"/>
  <c r="G15" i="28"/>
  <c r="F15" i="28"/>
  <c r="F16" i="28" s="1"/>
  <c r="D15" i="28"/>
  <c r="D28" i="28"/>
  <c r="D15" i="27"/>
  <c r="F15" i="27" s="1"/>
  <c r="F14" i="27"/>
  <c r="D14" i="27"/>
  <c r="F6" i="27"/>
  <c r="G6" i="27" s="1"/>
  <c r="F10" i="27"/>
  <c r="G10" i="27" s="1"/>
  <c r="F11" i="27"/>
  <c r="G11" i="27" s="1"/>
  <c r="F5" i="27"/>
  <c r="G5" i="27" s="1"/>
  <c r="D5" i="27"/>
  <c r="D7" i="27"/>
  <c r="F7" i="27" s="1"/>
  <c r="G7" i="27" s="1"/>
  <c r="D12" i="27"/>
  <c r="F12" i="27" s="1"/>
  <c r="G12" i="27" s="1"/>
  <c r="G13" i="27" s="1"/>
  <c r="D10" i="27"/>
  <c r="D4" i="27"/>
  <c r="F4" i="27" s="1"/>
  <c r="G4" i="27" s="1"/>
  <c r="D28" i="27"/>
  <c r="D11" i="26"/>
  <c r="F12" i="26"/>
  <c r="G12" i="26" s="1"/>
  <c r="F7" i="26"/>
  <c r="G7" i="26" s="1"/>
  <c r="F10" i="26"/>
  <c r="G10" i="26" s="1"/>
  <c r="F11" i="26"/>
  <c r="G11" i="26" s="1"/>
  <c r="D4" i="26"/>
  <c r="F4" i="26" s="1"/>
  <c r="D10" i="26"/>
  <c r="D8" i="26"/>
  <c r="F8" i="26" s="1"/>
  <c r="G8" i="26" s="1"/>
  <c r="D13" i="26"/>
  <c r="F15" i="26"/>
  <c r="D16" i="26"/>
  <c r="F16" i="26" s="1"/>
  <c r="D29" i="26"/>
  <c r="D12" i="17"/>
  <c r="F12" i="17" s="1"/>
  <c r="D10" i="17"/>
  <c r="D6" i="17"/>
  <c r="F6" i="17" s="1"/>
  <c r="G6" i="17" s="1"/>
  <c r="D4" i="17"/>
  <c r="G5" i="17"/>
  <c r="G8" i="17"/>
  <c r="G4" i="17"/>
  <c r="F14" i="17"/>
  <c r="D14" i="17"/>
  <c r="D15" i="17"/>
  <c r="F15" i="17" s="1"/>
  <c r="G15" i="17" s="1"/>
  <c r="D28" i="17"/>
  <c r="C40" i="18"/>
  <c r="G11" i="18"/>
  <c r="D15" i="18"/>
  <c r="F15" i="18" s="1"/>
  <c r="G15" i="18" s="1"/>
  <c r="D14" i="18"/>
  <c r="D28" i="18"/>
  <c r="E6" i="22"/>
  <c r="F15" i="22"/>
  <c r="D10" i="22"/>
  <c r="D6" i="22" s="1"/>
  <c r="J14" i="22" s="1"/>
  <c r="E12" i="22"/>
  <c r="G16" i="22"/>
  <c r="F16" i="22"/>
  <c r="F17" i="22" s="1"/>
  <c r="D16" i="22"/>
  <c r="D29" i="22"/>
  <c r="F7" i="21"/>
  <c r="G7" i="21" s="1"/>
  <c r="L13" i="28" l="1"/>
  <c r="F17" i="26"/>
  <c r="G16" i="26"/>
  <c r="L14" i="1"/>
  <c r="K13" i="27"/>
  <c r="G16" i="6"/>
  <c r="F13" i="26"/>
  <c r="G13" i="26" s="1"/>
  <c r="G15" i="27"/>
  <c r="G16" i="27" s="1"/>
  <c r="F16" i="27"/>
  <c r="F17" i="2"/>
  <c r="G16" i="2"/>
  <c r="F16" i="5"/>
  <c r="F17" i="5" s="1"/>
  <c r="F9" i="28"/>
  <c r="F5" i="28"/>
  <c r="G16" i="3"/>
  <c r="D14" i="22"/>
  <c r="L13" i="17"/>
  <c r="F10" i="17"/>
  <c r="G10" i="17" s="1"/>
  <c r="M14" i="8"/>
  <c r="L14" i="3"/>
  <c r="K14" i="5"/>
  <c r="L14" i="5"/>
  <c r="G4" i="5"/>
  <c r="G6" i="5"/>
  <c r="L13" i="27"/>
  <c r="G12" i="17"/>
  <c r="F11" i="22" l="1"/>
  <c r="G11" i="22" s="1"/>
  <c r="F6" i="22"/>
  <c r="G6" i="22" s="1"/>
  <c r="F4" i="22"/>
  <c r="G4" i="22" s="1"/>
  <c r="F13" i="22"/>
  <c r="G16" i="5"/>
  <c r="F12" i="22"/>
  <c r="G12" i="22" s="1"/>
  <c r="D15" i="22"/>
  <c r="D17" i="22"/>
  <c r="M13" i="17"/>
  <c r="G13" i="17"/>
  <c r="G16" i="17" s="1"/>
  <c r="G14" i="5"/>
  <c r="D15" i="21"/>
  <c r="F15" i="21" s="1"/>
  <c r="F16" i="21" s="1"/>
  <c r="F14" i="21"/>
  <c r="D14" i="21"/>
  <c r="D28" i="21"/>
  <c r="F14" i="19"/>
  <c r="F13" i="20"/>
  <c r="D9" i="20"/>
  <c r="D5" i="20"/>
  <c r="D11" i="20"/>
  <c r="G17" i="5" l="1"/>
  <c r="G13" i="22"/>
  <c r="G14" i="22" s="1"/>
  <c r="G17" i="22" s="1"/>
  <c r="L14" i="22"/>
  <c r="G15" i="21"/>
  <c r="K12" i="20"/>
  <c r="D12" i="20"/>
  <c r="D14" i="20"/>
  <c r="F14" i="20" s="1"/>
  <c r="D27" i="20"/>
  <c r="D10" i="19"/>
  <c r="D6" i="19"/>
  <c r="D4" i="19"/>
  <c r="C40" i="19"/>
  <c r="G5" i="19"/>
  <c r="D12" i="19"/>
  <c r="D11" i="19"/>
  <c r="G15" i="19"/>
  <c r="D28" i="19"/>
  <c r="I5" i="22"/>
  <c r="I6" i="22"/>
  <c r="I7" i="22"/>
  <c r="I8" i="22"/>
  <c r="I10" i="22"/>
  <c r="I11" i="22"/>
  <c r="I12" i="22"/>
  <c r="I13" i="22"/>
  <c r="I4" i="22"/>
  <c r="I13" i="10"/>
  <c r="D9" i="38"/>
  <c r="I9" i="38"/>
  <c r="I10" i="38"/>
  <c r="I11" i="38"/>
  <c r="I12" i="38"/>
  <c r="I15" i="38"/>
  <c r="E15" i="38" s="1"/>
  <c r="I5" i="38"/>
  <c r="I7" i="38"/>
  <c r="H11" i="37"/>
  <c r="I5" i="37"/>
  <c r="I7" i="37"/>
  <c r="I5" i="36"/>
  <c r="H12" i="35"/>
  <c r="D8" i="35"/>
  <c r="I5" i="35"/>
  <c r="F7" i="34"/>
  <c r="G7" i="34" s="1"/>
  <c r="F5" i="34"/>
  <c r="G5" i="34" s="1"/>
  <c r="F4" i="34"/>
  <c r="G4" i="34" s="1"/>
  <c r="I5" i="34"/>
  <c r="I6" i="34"/>
  <c r="H12" i="33"/>
  <c r="I5" i="33"/>
  <c r="I6" i="33"/>
  <c r="I5" i="32"/>
  <c r="I6" i="32"/>
  <c r="I7" i="32"/>
  <c r="E7" i="32" s="1"/>
  <c r="H13" i="31"/>
  <c r="H16" i="31" s="1"/>
  <c r="D12" i="31"/>
  <c r="I5" i="31"/>
  <c r="I6" i="31"/>
  <c r="I7" i="31"/>
  <c r="E7" i="31" s="1"/>
  <c r="F15" i="20" l="1"/>
  <c r="G14" i="20"/>
  <c r="D13" i="20"/>
  <c r="F9" i="20"/>
  <c r="F4" i="20"/>
  <c r="F5" i="20"/>
  <c r="F11" i="20"/>
  <c r="F9" i="34"/>
  <c r="G9" i="34" s="1"/>
  <c r="K10" i="34"/>
  <c r="F12" i="31"/>
  <c r="K13" i="31"/>
  <c r="D13" i="19"/>
  <c r="G7" i="19" l="1"/>
  <c r="F11" i="19"/>
  <c r="F6" i="19"/>
  <c r="F12" i="19"/>
  <c r="F10" i="19"/>
  <c r="F4" i="19"/>
  <c r="D14" i="19"/>
  <c r="G10" i="34"/>
  <c r="G13" i="34" s="1"/>
  <c r="L10" i="34"/>
  <c r="G12" i="31"/>
  <c r="G13" i="31" s="1"/>
  <c r="L13" i="31"/>
  <c r="G8" i="19"/>
  <c r="D9" i="30"/>
  <c r="I6" i="30"/>
  <c r="I7" i="30"/>
  <c r="I5" i="30"/>
  <c r="H13" i="29"/>
  <c r="H16" i="29" s="1"/>
  <c r="D12" i="29"/>
  <c r="F12" i="29" s="1"/>
  <c r="D9" i="29"/>
  <c r="I5" i="29"/>
  <c r="I6" i="29"/>
  <c r="I7" i="29"/>
  <c r="D7" i="29"/>
  <c r="H13" i="28"/>
  <c r="I5" i="28"/>
  <c r="I7" i="28"/>
  <c r="D9" i="27"/>
  <c r="F9" i="27" s="1"/>
  <c r="G9" i="27" s="1"/>
  <c r="I5" i="27"/>
  <c r="I6" i="27"/>
  <c r="I7" i="27"/>
  <c r="I6" i="26"/>
  <c r="I7" i="26"/>
  <c r="I8" i="26"/>
  <c r="G12" i="23"/>
  <c r="D10" i="23"/>
  <c r="H13" i="23"/>
  <c r="H16" i="23" s="1"/>
  <c r="I6" i="23"/>
  <c r="I7" i="23"/>
  <c r="I8" i="23"/>
  <c r="D9" i="24"/>
  <c r="D11" i="24"/>
  <c r="H13" i="24"/>
  <c r="H16" i="24" s="1"/>
  <c r="I5" i="24"/>
  <c r="I6" i="24"/>
  <c r="I7" i="24"/>
  <c r="D9" i="25"/>
  <c r="F9" i="25" s="1"/>
  <c r="D10" i="25"/>
  <c r="D11" i="25"/>
  <c r="I5" i="25"/>
  <c r="I6" i="25"/>
  <c r="I7" i="25"/>
  <c r="I5" i="21"/>
  <c r="I6" i="21"/>
  <c r="I7" i="21"/>
  <c r="I8" i="21"/>
  <c r="I9" i="21"/>
  <c r="I10" i="21"/>
  <c r="I11" i="21"/>
  <c r="I12" i="21"/>
  <c r="H13" i="21"/>
  <c r="H12" i="20"/>
  <c r="I7" i="20"/>
  <c r="I8" i="20"/>
  <c r="I5" i="20"/>
  <c r="D5" i="18"/>
  <c r="D12" i="18"/>
  <c r="F12" i="18" s="1"/>
  <c r="G12" i="18" s="1"/>
  <c r="D9" i="18"/>
  <c r="F9" i="18" s="1"/>
  <c r="G9" i="18" s="1"/>
  <c r="D4" i="18"/>
  <c r="F4" i="18" s="1"/>
  <c r="G4" i="18" s="1"/>
  <c r="J5" i="18"/>
  <c r="J6" i="18"/>
  <c r="J7" i="18"/>
  <c r="G5" i="15"/>
  <c r="J7" i="14"/>
  <c r="J5" i="14"/>
  <c r="J6" i="14"/>
  <c r="J5" i="13"/>
  <c r="J7" i="13"/>
  <c r="J5" i="12"/>
  <c r="J6" i="12"/>
  <c r="J7" i="12"/>
  <c r="I12" i="12"/>
  <c r="I13" i="11"/>
  <c r="I16" i="11" s="1"/>
  <c r="J7" i="9"/>
  <c r="J8" i="9"/>
  <c r="J9" i="9"/>
  <c r="J10" i="9"/>
  <c r="J11" i="9"/>
  <c r="D14" i="9"/>
  <c r="F14" i="9" s="1"/>
  <c r="F11" i="25" l="1"/>
  <c r="K12" i="25"/>
  <c r="F5" i="18"/>
  <c r="L13" i="29"/>
  <c r="G6" i="23"/>
  <c r="G4" i="23"/>
  <c r="F10" i="23"/>
  <c r="G10" i="23" s="1"/>
  <c r="G11" i="23"/>
  <c r="G9" i="23"/>
  <c r="D4" i="9"/>
  <c r="F4" i="9" s="1"/>
  <c r="I6" i="8"/>
  <c r="D13" i="7"/>
  <c r="D13" i="6"/>
  <c r="D4" i="6"/>
  <c r="I6" i="6"/>
  <c r="I7" i="6"/>
  <c r="I8" i="6"/>
  <c r="D6" i="4"/>
  <c r="F6" i="4" s="1"/>
  <c r="D12" i="4"/>
  <c r="F12" i="4" s="1"/>
  <c r="H13" i="4"/>
  <c r="H16" i="4" s="1"/>
  <c r="D4" i="4"/>
  <c r="F4" i="4" s="1"/>
  <c r="G4" i="4" s="1"/>
  <c r="D13" i="2"/>
  <c r="F13" i="2" s="1"/>
  <c r="G13" i="2" s="1"/>
  <c r="I6" i="2"/>
  <c r="H4" i="2"/>
  <c r="D4" i="2" s="1"/>
  <c r="I6" i="5"/>
  <c r="D14" i="31"/>
  <c r="I10" i="18"/>
  <c r="D10" i="18" s="1"/>
  <c r="F10" i="18" s="1"/>
  <c r="G10" i="18" s="1"/>
  <c r="K14" i="6" l="1"/>
  <c r="L13" i="18"/>
  <c r="G5" i="18"/>
  <c r="G13" i="18" s="1"/>
  <c r="G16" i="18" s="1"/>
  <c r="M13" i="18"/>
  <c r="L15" i="9"/>
  <c r="G13" i="23"/>
  <c r="L14" i="7"/>
  <c r="K13" i="4"/>
  <c r="F4" i="2"/>
  <c r="K14" i="2"/>
  <c r="I13" i="18"/>
  <c r="H8" i="38"/>
  <c r="D8" i="38" s="1"/>
  <c r="F8" i="38" s="1"/>
  <c r="G8" i="38" s="1"/>
  <c r="E4" i="38"/>
  <c r="I4" i="37"/>
  <c r="I13" i="37"/>
  <c r="E13" i="37" s="1"/>
  <c r="I10" i="37"/>
  <c r="I8" i="37"/>
  <c r="E4" i="37"/>
  <c r="E11" i="37" s="1"/>
  <c r="E12" i="37" s="1"/>
  <c r="I14" i="36"/>
  <c r="F14" i="36"/>
  <c r="I11" i="36"/>
  <c r="I9" i="36"/>
  <c r="I8" i="36"/>
  <c r="I7" i="36"/>
  <c r="E4" i="36"/>
  <c r="H10" i="34"/>
  <c r="H13" i="34" s="1"/>
  <c r="I12" i="34"/>
  <c r="I9" i="34"/>
  <c r="I7" i="34"/>
  <c r="E4" i="34"/>
  <c r="E10" i="34" s="1"/>
  <c r="E11" i="34" s="1"/>
  <c r="I8" i="33"/>
  <c r="H9" i="32"/>
  <c r="D9" i="32" s="1"/>
  <c r="I14" i="35"/>
  <c r="I11" i="35"/>
  <c r="I9" i="35"/>
  <c r="I8" i="35"/>
  <c r="I7" i="35"/>
  <c r="E4" i="35"/>
  <c r="G14" i="36" l="1"/>
  <c r="G15" i="36" s="1"/>
  <c r="F15" i="36"/>
  <c r="E12" i="34"/>
  <c r="E13" i="34" s="1"/>
  <c r="F9" i="32"/>
  <c r="G9" i="32" s="1"/>
  <c r="G12" i="32" s="1"/>
  <c r="K12" i="32"/>
  <c r="E14" i="37"/>
  <c r="E12" i="35"/>
  <c r="I8" i="38"/>
  <c r="E8" i="38" s="1"/>
  <c r="E13" i="38" s="1"/>
  <c r="E16" i="38" s="1"/>
  <c r="H13" i="38"/>
  <c r="I11" i="37"/>
  <c r="E12" i="36"/>
  <c r="E15" i="36" s="1"/>
  <c r="F11" i="7"/>
  <c r="G11" i="7" s="1"/>
  <c r="F13" i="7"/>
  <c r="G6" i="7"/>
  <c r="G8" i="36"/>
  <c r="G4" i="2"/>
  <c r="L14" i="2"/>
  <c r="I4" i="38"/>
  <c r="I4" i="36"/>
  <c r="I12" i="36" s="1"/>
  <c r="H12" i="36"/>
  <c r="I4" i="35"/>
  <c r="I12" i="35" s="1"/>
  <c r="I4" i="34"/>
  <c r="I10" i="34" s="1"/>
  <c r="I13" i="34" s="1"/>
  <c r="I8" i="29"/>
  <c r="I14" i="33"/>
  <c r="E14" i="33" s="1"/>
  <c r="I11" i="33"/>
  <c r="I9" i="33"/>
  <c r="E4" i="33"/>
  <c r="E12" i="33" s="1"/>
  <c r="I14" i="32"/>
  <c r="I11" i="32"/>
  <c r="I9" i="32"/>
  <c r="H8" i="32"/>
  <c r="D8" i="32" s="1"/>
  <c r="F8" i="32" s="1"/>
  <c r="G8" i="32" s="1"/>
  <c r="E4" i="32"/>
  <c r="I15" i="31"/>
  <c r="F15" i="31"/>
  <c r="F16" i="31" s="1"/>
  <c r="I12" i="31"/>
  <c r="I10" i="31"/>
  <c r="I9" i="31"/>
  <c r="E4" i="31"/>
  <c r="H8" i="30"/>
  <c r="I15" i="30"/>
  <c r="I12" i="30"/>
  <c r="I10" i="30"/>
  <c r="I9" i="30"/>
  <c r="E4" i="30"/>
  <c r="I15" i="29"/>
  <c r="I12" i="29"/>
  <c r="I10" i="29"/>
  <c r="I9" i="29"/>
  <c r="E4" i="29"/>
  <c r="I15" i="28"/>
  <c r="I12" i="28"/>
  <c r="I10" i="28"/>
  <c r="I9" i="28"/>
  <c r="E4" i="28"/>
  <c r="E13" i="28" s="1"/>
  <c r="I15" i="27"/>
  <c r="I12" i="27"/>
  <c r="I10" i="27"/>
  <c r="I9" i="27"/>
  <c r="H8" i="27"/>
  <c r="D8" i="27" s="1"/>
  <c r="F8" i="27" s="1"/>
  <c r="G8" i="27" s="1"/>
  <c r="E4" i="27"/>
  <c r="E13" i="27" s="1"/>
  <c r="I16" i="26"/>
  <c r="I13" i="26"/>
  <c r="I11" i="26"/>
  <c r="I10" i="26"/>
  <c r="H9" i="26"/>
  <c r="D9" i="26" s="1"/>
  <c r="H8" i="25"/>
  <c r="I14" i="25"/>
  <c r="F14" i="25"/>
  <c r="I11" i="25"/>
  <c r="I9" i="25"/>
  <c r="E4" i="25"/>
  <c r="I15" i="24"/>
  <c r="F15" i="24"/>
  <c r="I12" i="24"/>
  <c r="I10" i="24"/>
  <c r="I9" i="24"/>
  <c r="I8" i="24"/>
  <c r="E4" i="24"/>
  <c r="E13" i="24" s="1"/>
  <c r="I15" i="23"/>
  <c r="F15" i="23"/>
  <c r="I12" i="23"/>
  <c r="I11" i="23"/>
  <c r="I10" i="23"/>
  <c r="I9" i="23"/>
  <c r="E4" i="23"/>
  <c r="H9" i="22"/>
  <c r="I16" i="22"/>
  <c r="E4" i="22"/>
  <c r="I15" i="21"/>
  <c r="E15" i="21" s="1"/>
  <c r="E4" i="21"/>
  <c r="L13" i="21" s="1"/>
  <c r="I14" i="20"/>
  <c r="E14" i="20" s="1"/>
  <c r="I11" i="20"/>
  <c r="I9" i="20"/>
  <c r="E4" i="20"/>
  <c r="H13" i="19"/>
  <c r="H16" i="19" s="1"/>
  <c r="I15" i="19"/>
  <c r="I12" i="19"/>
  <c r="I10" i="19"/>
  <c r="I9" i="19"/>
  <c r="E4" i="19"/>
  <c r="E13" i="19" s="1"/>
  <c r="E16" i="19" s="1"/>
  <c r="J15" i="18"/>
  <c r="J12" i="18"/>
  <c r="J10" i="18"/>
  <c r="J9" i="18"/>
  <c r="J8" i="18"/>
  <c r="J4" i="18"/>
  <c r="E4" i="18"/>
  <c r="J15" i="17"/>
  <c r="J12" i="17"/>
  <c r="J10" i="17"/>
  <c r="J9" i="17"/>
  <c r="E4" i="17"/>
  <c r="E13" i="17" s="1"/>
  <c r="J14" i="16"/>
  <c r="J11" i="16"/>
  <c r="J9" i="16"/>
  <c r="J8" i="16"/>
  <c r="I12" i="16"/>
  <c r="E4" i="16"/>
  <c r="E12" i="16" s="1"/>
  <c r="I15" i="15"/>
  <c r="I12" i="15"/>
  <c r="D14" i="15"/>
  <c r="I10" i="15"/>
  <c r="I9" i="15"/>
  <c r="E4" i="15"/>
  <c r="J15" i="14"/>
  <c r="J12" i="14"/>
  <c r="J10" i="14"/>
  <c r="J9" i="14"/>
  <c r="J4" i="14"/>
  <c r="I13" i="14"/>
  <c r="E4" i="14"/>
  <c r="E13" i="14" s="1"/>
  <c r="J14" i="13"/>
  <c r="J11" i="13"/>
  <c r="J9" i="13"/>
  <c r="J8" i="13"/>
  <c r="J4" i="13"/>
  <c r="I12" i="13"/>
  <c r="E4" i="13"/>
  <c r="J4" i="12"/>
  <c r="J14" i="12"/>
  <c r="J11" i="12"/>
  <c r="J9" i="12"/>
  <c r="J8" i="12"/>
  <c r="E4" i="12"/>
  <c r="J15" i="11"/>
  <c r="J12" i="11"/>
  <c r="J10" i="11"/>
  <c r="J4" i="11"/>
  <c r="E4" i="11"/>
  <c r="J15" i="10"/>
  <c r="E15" i="10" s="1"/>
  <c r="J12" i="10"/>
  <c r="J10" i="10"/>
  <c r="J8" i="10"/>
  <c r="J4" i="10"/>
  <c r="E4" i="10"/>
  <c r="E13" i="10" s="1"/>
  <c r="J17" i="9"/>
  <c r="J14" i="9"/>
  <c r="J12" i="9"/>
  <c r="I15" i="9"/>
  <c r="I18" i="9" s="1"/>
  <c r="E4" i="9"/>
  <c r="E15" i="9" s="1"/>
  <c r="I4" i="8"/>
  <c r="I16" i="8"/>
  <c r="I13" i="8"/>
  <c r="I12" i="8"/>
  <c r="I11" i="8"/>
  <c r="I10" i="8"/>
  <c r="I9" i="8"/>
  <c r="I8" i="8"/>
  <c r="I7" i="8"/>
  <c r="E4" i="8"/>
  <c r="E14" i="8" s="1"/>
  <c r="I14" i="7"/>
  <c r="J16" i="7"/>
  <c r="E16" i="7" s="1"/>
  <c r="J13" i="7"/>
  <c r="J12" i="7"/>
  <c r="J11" i="7"/>
  <c r="J10" i="7"/>
  <c r="J9" i="7"/>
  <c r="E4" i="7"/>
  <c r="E14" i="7" s="1"/>
  <c r="I16" i="6"/>
  <c r="I13" i="6"/>
  <c r="I11" i="6"/>
  <c r="I10" i="6"/>
  <c r="I9" i="6"/>
  <c r="E4" i="6"/>
  <c r="E14" i="6" s="1"/>
  <c r="E17" i="6" s="1"/>
  <c r="I4" i="5"/>
  <c r="I16" i="5"/>
  <c r="E16" i="5" s="1"/>
  <c r="H14" i="5"/>
  <c r="I13" i="5"/>
  <c r="I12" i="5"/>
  <c r="I11" i="5"/>
  <c r="I9" i="5"/>
  <c r="I8" i="5"/>
  <c r="E4" i="5"/>
  <c r="I15" i="4"/>
  <c r="E15" i="4" s="1"/>
  <c r="I12" i="4"/>
  <c r="I11" i="4"/>
  <c r="I10" i="4"/>
  <c r="I9" i="4"/>
  <c r="I8" i="4"/>
  <c r="I7" i="4"/>
  <c r="E4" i="4"/>
  <c r="J16" i="3"/>
  <c r="E16" i="3" s="1"/>
  <c r="J13" i="3"/>
  <c r="J12" i="3"/>
  <c r="J11" i="3"/>
  <c r="J10" i="3"/>
  <c r="J9" i="3"/>
  <c r="J8" i="3"/>
  <c r="J7" i="3"/>
  <c r="J4" i="3"/>
  <c r="E4" i="3"/>
  <c r="H14" i="2"/>
  <c r="I16" i="2"/>
  <c r="E16" i="2" s="1"/>
  <c r="E17" i="2" s="1"/>
  <c r="I13" i="2"/>
  <c r="I12" i="2"/>
  <c r="I11" i="2"/>
  <c r="I9" i="2"/>
  <c r="I8" i="2"/>
  <c r="I7" i="2"/>
  <c r="E4" i="2"/>
  <c r="E14" i="2" s="1"/>
  <c r="E15" i="2" s="1"/>
  <c r="J16" i="1"/>
  <c r="J7" i="1"/>
  <c r="J8" i="1"/>
  <c r="J9" i="1"/>
  <c r="J10" i="1"/>
  <c r="J11" i="1"/>
  <c r="J12" i="1"/>
  <c r="J13" i="1"/>
  <c r="J4" i="1"/>
  <c r="I14" i="1"/>
  <c r="E15" i="11" l="1"/>
  <c r="E14" i="22"/>
  <c r="E17" i="22" s="1"/>
  <c r="K14" i="22"/>
  <c r="G14" i="25"/>
  <c r="F15" i="25"/>
  <c r="D6" i="26"/>
  <c r="F9" i="26"/>
  <c r="G9" i="26" s="1"/>
  <c r="E14" i="28"/>
  <c r="E16" i="28"/>
  <c r="F16" i="24"/>
  <c r="G15" i="24"/>
  <c r="E15" i="27"/>
  <c r="E16" i="27" s="1"/>
  <c r="E13" i="35"/>
  <c r="E15" i="35"/>
  <c r="I9" i="26"/>
  <c r="M14" i="7"/>
  <c r="G13" i="7"/>
  <c r="G14" i="7" s="1"/>
  <c r="G17" i="7" s="1"/>
  <c r="E14" i="24"/>
  <c r="E16" i="24"/>
  <c r="E15" i="33"/>
  <c r="E13" i="21"/>
  <c r="E16" i="21" s="1"/>
  <c r="E17" i="8"/>
  <c r="E15" i="8"/>
  <c r="E15" i="7"/>
  <c r="E17" i="7"/>
  <c r="E14" i="38"/>
  <c r="I13" i="38"/>
  <c r="G15" i="31"/>
  <c r="G16" i="31" s="1"/>
  <c r="F16" i="23"/>
  <c r="G15" i="23"/>
  <c r="G16" i="23" s="1"/>
  <c r="E13" i="29"/>
  <c r="E16" i="29" s="1"/>
  <c r="E13" i="33"/>
  <c r="E13" i="36"/>
  <c r="L12" i="36"/>
  <c r="D14" i="38"/>
  <c r="E12" i="32"/>
  <c r="I8" i="32"/>
  <c r="E8" i="32" s="1"/>
  <c r="D13" i="32"/>
  <c r="H12" i="32"/>
  <c r="I8" i="30"/>
  <c r="H13" i="30"/>
  <c r="H16" i="30" s="1"/>
  <c r="E13" i="30"/>
  <c r="E16" i="30" s="1"/>
  <c r="E15" i="16"/>
  <c r="E13" i="16"/>
  <c r="E13" i="15"/>
  <c r="E14" i="14"/>
  <c r="E16" i="14"/>
  <c r="E12" i="13"/>
  <c r="E12" i="12"/>
  <c r="E14" i="10"/>
  <c r="E16" i="10"/>
  <c r="J13" i="10"/>
  <c r="E13" i="23"/>
  <c r="H12" i="25"/>
  <c r="E18" i="9"/>
  <c r="E16" i="9"/>
  <c r="E14" i="3"/>
  <c r="E15" i="3" s="1"/>
  <c r="H13" i="27"/>
  <c r="H16" i="27" s="1"/>
  <c r="H14" i="22"/>
  <c r="H17" i="22" s="1"/>
  <c r="I17" i="22" s="1"/>
  <c r="I9" i="22"/>
  <c r="I14" i="22" s="1"/>
  <c r="E12" i="20"/>
  <c r="E15" i="20" s="1"/>
  <c r="D15" i="26"/>
  <c r="H14" i="26"/>
  <c r="E13" i="4"/>
  <c r="E16" i="4" s="1"/>
  <c r="E14" i="5"/>
  <c r="E17" i="5" s="1"/>
  <c r="C33" i="34"/>
  <c r="E13" i="18"/>
  <c r="E14" i="18" s="1"/>
  <c r="J12" i="12"/>
  <c r="E13" i="11"/>
  <c r="E14" i="11" s="1"/>
  <c r="E14" i="27"/>
  <c r="I4" i="6"/>
  <c r="I14" i="6" s="1"/>
  <c r="I13" i="17"/>
  <c r="I4" i="15"/>
  <c r="I13" i="15" s="1"/>
  <c r="I16" i="15" s="1"/>
  <c r="H13" i="15"/>
  <c r="H16" i="15" s="1"/>
  <c r="H4" i="13"/>
  <c r="J14" i="1"/>
  <c r="H14" i="6"/>
  <c r="I4" i="4"/>
  <c r="I13" i="4" s="1"/>
  <c r="I16" i="4" s="1"/>
  <c r="H4" i="18"/>
  <c r="J13" i="18"/>
  <c r="D15" i="36"/>
  <c r="C35" i="36" s="1"/>
  <c r="D15" i="35"/>
  <c r="I4" i="32"/>
  <c r="I8" i="31"/>
  <c r="E13" i="31" s="1"/>
  <c r="E16" i="31" s="1"/>
  <c r="I4" i="31"/>
  <c r="I4" i="33"/>
  <c r="I12" i="33" s="1"/>
  <c r="I4" i="30"/>
  <c r="I4" i="29"/>
  <c r="I13" i="29" s="1"/>
  <c r="I16" i="29" s="1"/>
  <c r="I8" i="28"/>
  <c r="I4" i="28"/>
  <c r="I8" i="27"/>
  <c r="I4" i="27"/>
  <c r="I4" i="26"/>
  <c r="I4" i="25"/>
  <c r="I12" i="25" s="1"/>
  <c r="I8" i="25"/>
  <c r="E12" i="25" s="1"/>
  <c r="I4" i="24"/>
  <c r="I13" i="24" s="1"/>
  <c r="I16" i="24" s="1"/>
  <c r="I4" i="23"/>
  <c r="I13" i="23" s="1"/>
  <c r="I16" i="23" s="1"/>
  <c r="I4" i="21"/>
  <c r="I13" i="21" s="1"/>
  <c r="I4" i="20"/>
  <c r="I12" i="20" s="1"/>
  <c r="I4" i="19"/>
  <c r="I13" i="19" s="1"/>
  <c r="I16" i="19" s="1"/>
  <c r="D16" i="17"/>
  <c r="E16" i="17"/>
  <c r="E14" i="17"/>
  <c r="H4" i="17"/>
  <c r="J4" i="17"/>
  <c r="J13" i="17" s="1"/>
  <c r="D15" i="16"/>
  <c r="H4" i="16"/>
  <c r="J4" i="16"/>
  <c r="J12" i="16" s="1"/>
  <c r="J13" i="14"/>
  <c r="D14" i="14"/>
  <c r="J12" i="13"/>
  <c r="J13" i="11"/>
  <c r="J16" i="11" s="1"/>
  <c r="J4" i="9"/>
  <c r="J15" i="9" s="1"/>
  <c r="J18" i="9" s="1"/>
  <c r="H14" i="8"/>
  <c r="I14" i="8"/>
  <c r="J4" i="7"/>
  <c r="J14" i="7" s="1"/>
  <c r="E15" i="6"/>
  <c r="I14" i="5"/>
  <c r="D17" i="5"/>
  <c r="C37" i="5" s="1"/>
  <c r="J14" i="3"/>
  <c r="I14" i="3"/>
  <c r="I4" i="2"/>
  <c r="I14" i="2" s="1"/>
  <c r="D17" i="2"/>
  <c r="E13" i="25" l="1"/>
  <c r="E15" i="25"/>
  <c r="I13" i="27"/>
  <c r="I16" i="27" s="1"/>
  <c r="I14" i="26"/>
  <c r="E4" i="26"/>
  <c r="E14" i="26" s="1"/>
  <c r="E15" i="22"/>
  <c r="E17" i="3"/>
  <c r="F6" i="26"/>
  <c r="K14" i="26"/>
  <c r="E16" i="11"/>
  <c r="E14" i="21"/>
  <c r="E14" i="15"/>
  <c r="E16" i="15"/>
  <c r="E13" i="13"/>
  <c r="E15" i="13"/>
  <c r="E15" i="12"/>
  <c r="E13" i="12"/>
  <c r="E15" i="5"/>
  <c r="E16" i="18"/>
  <c r="E14" i="31"/>
  <c r="E13" i="32"/>
  <c r="E15" i="32"/>
  <c r="E14" i="30"/>
  <c r="I13" i="30"/>
  <c r="I16" i="30" s="1"/>
  <c r="E14" i="29"/>
  <c r="C35" i="35"/>
  <c r="F8" i="35"/>
  <c r="G8" i="35" s="1"/>
  <c r="I12" i="32"/>
  <c r="I13" i="31"/>
  <c r="I16" i="31" s="1"/>
  <c r="C35" i="16"/>
  <c r="G11" i="16"/>
  <c r="G9" i="16"/>
  <c r="G10" i="16"/>
  <c r="G14" i="16"/>
  <c r="G5" i="16"/>
  <c r="E14" i="23"/>
  <c r="E16" i="23"/>
  <c r="E14" i="4"/>
  <c r="C37" i="2"/>
  <c r="I13" i="28"/>
  <c r="C36" i="17"/>
  <c r="G11" i="17"/>
  <c r="G7" i="17"/>
  <c r="G9" i="17"/>
  <c r="E13" i="20"/>
  <c r="E14" i="19"/>
  <c r="D17" i="26"/>
  <c r="D16" i="10"/>
  <c r="C37" i="25"/>
  <c r="C37" i="20"/>
  <c r="D15" i="13"/>
  <c r="H4" i="12"/>
  <c r="H4" i="11"/>
  <c r="H4" i="7"/>
  <c r="C39" i="2"/>
  <c r="H4" i="9"/>
  <c r="C39" i="6"/>
  <c r="D17" i="6"/>
  <c r="F4" i="6" s="1"/>
  <c r="G4" i="6" s="1"/>
  <c r="D16" i="38"/>
  <c r="D14" i="37"/>
  <c r="D13" i="34"/>
  <c r="D15" i="33"/>
  <c r="D16" i="29"/>
  <c r="C39" i="26"/>
  <c r="D15" i="25"/>
  <c r="D16" i="23"/>
  <c r="C36" i="23" s="1"/>
  <c r="C38" i="23"/>
  <c r="D16" i="11"/>
  <c r="D16" i="19"/>
  <c r="C38" i="17"/>
  <c r="C37" i="16"/>
  <c r="D16" i="15"/>
  <c r="C38" i="15"/>
  <c r="D16" i="14"/>
  <c r="C37" i="13"/>
  <c r="D15" i="12"/>
  <c r="D17" i="8"/>
  <c r="D17" i="7"/>
  <c r="D14" i="4"/>
  <c r="E17" i="26" l="1"/>
  <c r="E15" i="26"/>
  <c r="G12" i="16"/>
  <c r="G15" i="16" s="1"/>
  <c r="G6" i="26"/>
  <c r="G14" i="26" s="1"/>
  <c r="G17" i="26" s="1"/>
  <c r="L14" i="26"/>
  <c r="L12" i="35"/>
  <c r="C36" i="38"/>
  <c r="F11" i="38"/>
  <c r="G11" i="38" s="1"/>
  <c r="F9" i="38"/>
  <c r="G9" i="38" s="1"/>
  <c r="C34" i="37"/>
  <c r="C35" i="33"/>
  <c r="C36" i="29"/>
  <c r="G8" i="29"/>
  <c r="F7" i="29"/>
  <c r="G7" i="29" s="1"/>
  <c r="G11" i="29"/>
  <c r="G6" i="29"/>
  <c r="G4" i="29"/>
  <c r="F9" i="29"/>
  <c r="G9" i="29" s="1"/>
  <c r="G5" i="29"/>
  <c r="G10" i="29"/>
  <c r="G4" i="16"/>
  <c r="M12" i="16"/>
  <c r="C38" i="16"/>
  <c r="C36" i="14"/>
  <c r="G7" i="14"/>
  <c r="G10" i="14"/>
  <c r="G6" i="14"/>
  <c r="G9" i="14"/>
  <c r="G12" i="14"/>
  <c r="G11" i="14"/>
  <c r="C35" i="12"/>
  <c r="G6" i="12"/>
  <c r="G9" i="12"/>
  <c r="G5" i="12"/>
  <c r="G8" i="12"/>
  <c r="G7" i="12"/>
  <c r="F10" i="12"/>
  <c r="G10" i="12" s="1"/>
  <c r="G11" i="12"/>
  <c r="G7" i="10"/>
  <c r="G11" i="10"/>
  <c r="G5" i="10"/>
  <c r="G8" i="10"/>
  <c r="G6" i="10"/>
  <c r="G10" i="10"/>
  <c r="C39" i="23"/>
  <c r="C35" i="25"/>
  <c r="C38" i="25" s="1"/>
  <c r="F10" i="25"/>
  <c r="G10" i="25" s="1"/>
  <c r="G5" i="25"/>
  <c r="G11" i="25"/>
  <c r="G9" i="25"/>
  <c r="C37" i="7"/>
  <c r="G9" i="7"/>
  <c r="G14" i="2"/>
  <c r="G17" i="2" s="1"/>
  <c r="F15" i="2"/>
  <c r="C40" i="2"/>
  <c r="C39" i="17"/>
  <c r="C36" i="19"/>
  <c r="C37" i="26"/>
  <c r="C40" i="26" s="1"/>
  <c r="G4" i="26"/>
  <c r="C37" i="22"/>
  <c r="C36" i="10"/>
  <c r="G4" i="10"/>
  <c r="C36" i="4"/>
  <c r="G10" i="4"/>
  <c r="G6" i="4"/>
  <c r="C37" i="35"/>
  <c r="C38" i="35" s="1"/>
  <c r="D15" i="20"/>
  <c r="C36" i="15"/>
  <c r="C39" i="15" s="1"/>
  <c r="G11" i="15"/>
  <c r="G12" i="15"/>
  <c r="G9" i="15"/>
  <c r="G8" i="15"/>
  <c r="G6" i="15"/>
  <c r="G7" i="15"/>
  <c r="G10" i="15"/>
  <c r="G4" i="15"/>
  <c r="C35" i="13"/>
  <c r="C38" i="13" s="1"/>
  <c r="G8" i="13"/>
  <c r="C36" i="11"/>
  <c r="C37" i="8"/>
  <c r="C37" i="6"/>
  <c r="F13" i="6"/>
  <c r="G12" i="6"/>
  <c r="F11" i="6"/>
  <c r="F6" i="6"/>
  <c r="G6" i="6" s="1"/>
  <c r="C38" i="38"/>
  <c r="C37" i="36"/>
  <c r="C38" i="36" s="1"/>
  <c r="D16" i="27"/>
  <c r="C38" i="21"/>
  <c r="D16" i="21"/>
  <c r="C39" i="7"/>
  <c r="C40" i="7" s="1"/>
  <c r="C38" i="4"/>
  <c r="C38" i="29"/>
  <c r="D15" i="32"/>
  <c r="D16" i="31"/>
  <c r="D16" i="30"/>
  <c r="C38" i="30"/>
  <c r="D16" i="28"/>
  <c r="C38" i="24"/>
  <c r="D16" i="24"/>
  <c r="D18" i="9"/>
  <c r="D17" i="3"/>
  <c r="G13" i="15" l="1"/>
  <c r="G16" i="15" s="1"/>
  <c r="G13" i="38"/>
  <c r="G16" i="38" s="1"/>
  <c r="L13" i="38"/>
  <c r="C39" i="38"/>
  <c r="G12" i="29"/>
  <c r="G13" i="29" s="1"/>
  <c r="G16" i="29" s="1"/>
  <c r="M13" i="29"/>
  <c r="C39" i="29"/>
  <c r="C35" i="32"/>
  <c r="G10" i="32"/>
  <c r="C36" i="31"/>
  <c r="G11" i="31"/>
  <c r="G10" i="30"/>
  <c r="G12" i="30"/>
  <c r="F9" i="30"/>
  <c r="G9" i="30" s="1"/>
  <c r="G5" i="30"/>
  <c r="G5" i="13"/>
  <c r="G12" i="13" s="1"/>
  <c r="G15" i="13" s="1"/>
  <c r="M12" i="13"/>
  <c r="G12" i="10"/>
  <c r="G13" i="10" s="1"/>
  <c r="G16" i="10" s="1"/>
  <c r="L13" i="10"/>
  <c r="G4" i="25"/>
  <c r="G12" i="25" s="1"/>
  <c r="G15" i="25" s="1"/>
  <c r="L12" i="25"/>
  <c r="C38" i="9"/>
  <c r="G11" i="6"/>
  <c r="L14" i="6"/>
  <c r="G13" i="6"/>
  <c r="G12" i="4"/>
  <c r="G13" i="4" s="1"/>
  <c r="G16" i="4" s="1"/>
  <c r="L13" i="4"/>
  <c r="C39" i="4"/>
  <c r="C36" i="27"/>
  <c r="C36" i="21"/>
  <c r="C39" i="21" s="1"/>
  <c r="G5" i="20"/>
  <c r="G8" i="20"/>
  <c r="G9" i="20"/>
  <c r="C35" i="20"/>
  <c r="C38" i="20" s="1"/>
  <c r="C36" i="24"/>
  <c r="C39" i="24" s="1"/>
  <c r="F11" i="24"/>
  <c r="G11" i="24" s="1"/>
  <c r="F9" i="24"/>
  <c r="G9" i="24" s="1"/>
  <c r="F8" i="24"/>
  <c r="G8" i="24" s="1"/>
  <c r="C38" i="10"/>
  <c r="C39" i="10" s="1"/>
  <c r="F14" i="4"/>
  <c r="C35" i="34"/>
  <c r="C36" i="34" s="1"/>
  <c r="C36" i="30"/>
  <c r="C39" i="30" s="1"/>
  <c r="C36" i="28"/>
  <c r="G8" i="28"/>
  <c r="G12" i="28"/>
  <c r="G7" i="28"/>
  <c r="G11" i="28"/>
  <c r="G6" i="28"/>
  <c r="G10" i="28"/>
  <c r="G9" i="28"/>
  <c r="G5" i="28"/>
  <c r="C37" i="3"/>
  <c r="G6" i="3"/>
  <c r="G10" i="3"/>
  <c r="G4" i="3"/>
  <c r="G9" i="3"/>
  <c r="G13" i="3"/>
  <c r="G8" i="3"/>
  <c r="G12" i="3"/>
  <c r="G7" i="3"/>
  <c r="G11" i="3"/>
  <c r="E4" i="1"/>
  <c r="E14" i="1" s="1"/>
  <c r="E17" i="1" s="1"/>
  <c r="G14" i="6" l="1"/>
  <c r="G17" i="6" s="1"/>
  <c r="E15" i="1"/>
  <c r="L12" i="32"/>
  <c r="G4" i="30"/>
  <c r="L13" i="30"/>
  <c r="G14" i="3"/>
  <c r="G17" i="3" s="1"/>
  <c r="G13" i="21"/>
  <c r="G16" i="21" s="1"/>
  <c r="L12" i="20"/>
  <c r="G4" i="20"/>
  <c r="G12" i="20" s="1"/>
  <c r="G15" i="20" s="1"/>
  <c r="C37" i="32"/>
  <c r="C38" i="32" s="1"/>
  <c r="C38" i="31"/>
  <c r="C39" i="31" s="1"/>
  <c r="C39" i="1"/>
  <c r="D17" i="1"/>
  <c r="G4" i="1" s="1"/>
  <c r="G15" i="32" l="1"/>
  <c r="G13" i="30"/>
  <c r="G16" i="30" s="1"/>
  <c r="G13" i="24"/>
  <c r="G16" i="24" s="1"/>
  <c r="C37" i="1"/>
  <c r="C40" i="1" s="1"/>
  <c r="G9" i="1"/>
  <c r="G13" i="1"/>
  <c r="G8" i="1"/>
  <c r="G12" i="1"/>
  <c r="G7" i="1"/>
  <c r="G11" i="1"/>
  <c r="G6" i="1"/>
  <c r="G10" i="1"/>
  <c r="G14" i="1" l="1"/>
  <c r="G17" i="1" s="1"/>
  <c r="C39" i="3" l="1"/>
  <c r="C40" i="3" s="1"/>
  <c r="C39" i="5"/>
  <c r="C40" i="5" s="1"/>
  <c r="C39" i="8"/>
  <c r="C40" i="8" s="1"/>
  <c r="G4" i="8"/>
  <c r="C38" i="11"/>
  <c r="C39" i="11" s="1"/>
  <c r="C37" i="12"/>
  <c r="C38" i="12" s="1"/>
  <c r="G4" i="14"/>
  <c r="G13" i="14" s="1"/>
  <c r="C38" i="14"/>
  <c r="C39" i="14" s="1"/>
  <c r="D16" i="18"/>
  <c r="G14" i="8" l="1"/>
  <c r="G17" i="8" s="1"/>
  <c r="F14" i="14"/>
  <c r="G16" i="14"/>
  <c r="G4" i="12"/>
  <c r="G12" i="12" s="1"/>
  <c r="G15" i="12" s="1"/>
  <c r="C36" i="18"/>
  <c r="C38" i="18"/>
  <c r="C39" i="18" l="1"/>
  <c r="F14" i="18"/>
  <c r="C38" i="27"/>
  <c r="C39" i="27" s="1"/>
  <c r="C38" i="28"/>
  <c r="C39" i="28" s="1"/>
  <c r="G4" i="28"/>
  <c r="G13" i="28" l="1"/>
  <c r="G16" i="28" s="1"/>
  <c r="C39" i="22"/>
  <c r="C40" i="22" s="1"/>
  <c r="G11" i="19" l="1"/>
  <c r="G6" i="19"/>
  <c r="C38" i="19"/>
  <c r="C39" i="19" s="1"/>
  <c r="G10" i="19"/>
  <c r="G9" i="19"/>
  <c r="G4" i="19"/>
  <c r="G13" i="19" l="1"/>
  <c r="G16" i="19" s="1"/>
  <c r="G4" i="9" l="1"/>
  <c r="G7" i="9"/>
  <c r="G9" i="9"/>
  <c r="G8" i="9"/>
  <c r="G11" i="9"/>
  <c r="C40" i="9" l="1"/>
  <c r="C41" i="9" s="1"/>
  <c r="G10" i="9"/>
  <c r="G12" i="9"/>
  <c r="G13" i="9"/>
  <c r="G14" i="9" l="1"/>
  <c r="G15" i="9" s="1"/>
  <c r="G18" i="9" s="1"/>
  <c r="M15" i="9"/>
  <c r="F9" i="37" l="1"/>
  <c r="G9" i="37" s="1"/>
  <c r="G7" i="37"/>
  <c r="F12" i="37"/>
  <c r="G10" i="37"/>
  <c r="G6" i="37"/>
  <c r="G8" i="37"/>
  <c r="G5" i="37" l="1"/>
  <c r="C36" i="37"/>
  <c r="C37" i="37" s="1"/>
  <c r="G4" i="37" l="1"/>
  <c r="G11" i="37" l="1"/>
  <c r="G14" i="37" s="1"/>
  <c r="C37" i="33"/>
  <c r="C38" i="33" s="1"/>
  <c r="G11" i="33" l="1"/>
  <c r="G5" i="33"/>
  <c r="G8" i="33"/>
  <c r="G7" i="33"/>
  <c r="G6" i="33"/>
  <c r="G9" i="33"/>
  <c r="G4" i="33" l="1"/>
  <c r="G12" i="33" s="1"/>
  <c r="G15" i="33" s="1"/>
  <c r="L12" i="33"/>
</calcChain>
</file>

<file path=xl/sharedStrings.xml><?xml version="1.0" encoding="utf-8"?>
<sst xmlns="http://schemas.openxmlformats.org/spreadsheetml/2006/main" count="2803" uniqueCount="120">
  <si>
    <t>№№ пп</t>
  </si>
  <si>
    <t>Наименование показателя</t>
  </si>
  <si>
    <t>Ед. изм.</t>
  </si>
  <si>
    <t>1.1.</t>
  </si>
  <si>
    <t xml:space="preserve"> тыс.руб.</t>
  </si>
  <si>
    <t>1.2.</t>
  </si>
  <si>
    <t>1.3.</t>
  </si>
  <si>
    <t>Работы, выполняемые в целях надлежащего содержания лифтов  мкд.</t>
  </si>
  <si>
    <t>Работы, выполняемые в целях надлежащего содержания индивидуальных тепловых пунктов  мкд.</t>
  </si>
  <si>
    <t>Дератизация</t>
  </si>
  <si>
    <t>Управление многоквартирным домом</t>
  </si>
  <si>
    <t>Оплачено:</t>
  </si>
  <si>
    <t>Себестоимость (без вывоза ТКО), руб. в мес.</t>
  </si>
  <si>
    <t>Итого:</t>
  </si>
  <si>
    <t>Всего с ТКО:</t>
  </si>
  <si>
    <t>руб./м3</t>
  </si>
  <si>
    <t>Водоотведение</t>
  </si>
  <si>
    <t>Горячее водоснабжение</t>
  </si>
  <si>
    <t>Отопление</t>
  </si>
  <si>
    <t>Плата за содержание общего имущества мкд</t>
  </si>
  <si>
    <t>с 01.04.2015г.</t>
  </si>
  <si>
    <t>г. Гатчина,  ул. Гагарина, 17</t>
  </si>
  <si>
    <t>руб./ Гкал</t>
  </si>
  <si>
    <t>руб./м2 в мес.</t>
  </si>
  <si>
    <t>Вывоз твердых коммунальных отходов (ТКО).</t>
  </si>
  <si>
    <t>Начислено, тыс.руб.</t>
  </si>
  <si>
    <t>Затраты, тыс.руб.</t>
  </si>
  <si>
    <r>
      <t xml:space="preserve">Работы, выполняемые в целях надлежащего содержания </t>
    </r>
    <r>
      <rPr>
        <b/>
        <sz val="10"/>
        <color theme="1"/>
        <rFont val="Times New Roman"/>
        <family val="1"/>
        <charset val="204"/>
      </rPr>
      <t>систем внутридомового газового оборудования</t>
    </r>
    <r>
      <rPr>
        <sz val="10"/>
        <color theme="1"/>
        <rFont val="Times New Roman"/>
        <family val="1"/>
        <charset val="204"/>
      </rPr>
      <t xml:space="preserve">  мкд.</t>
    </r>
  </si>
  <si>
    <r>
      <t xml:space="preserve">Работы, выполняемые в целях надлежащего содержания </t>
    </r>
    <r>
      <rPr>
        <b/>
        <sz val="10"/>
        <color theme="1"/>
        <rFont val="Times New Roman"/>
        <family val="1"/>
        <charset val="204"/>
      </rPr>
      <t>систем вентиляции  и дымоудаления</t>
    </r>
    <r>
      <rPr>
        <sz val="10"/>
        <color theme="1"/>
        <rFont val="Times New Roman"/>
        <family val="1"/>
        <charset val="204"/>
      </rPr>
      <t xml:space="preserve"> мкд.</t>
    </r>
  </si>
  <si>
    <t>с 01.01.2017г.</t>
  </si>
  <si>
    <t>Работы, необходимые для содержания несущих конструкций и ненесущих конструкций, оборудования и систем  инженерно-технического обеспечения, входящих в состав  общего имущества  мкд, в т.ч.:</t>
  </si>
  <si>
    <t>Работы и услуги по содержанию иного общего  имущества  мкд (санитарные работы), в т.ч.:</t>
  </si>
  <si>
    <t xml:space="preserve">Холодное водоснабжение (питьевая вода) (с ндс)  </t>
  </si>
  <si>
    <t>г. Гатчина,  ул. Гагарина, 11</t>
  </si>
  <si>
    <t>г. Гатчина,  ул. Гагарина, 12</t>
  </si>
  <si>
    <t>г. Гатчина,  ул. Гагарина, 14</t>
  </si>
  <si>
    <t>г. Гатчина,  ул. Гагарина, 8</t>
  </si>
  <si>
    <t>г. Гатчина,  ул. Гагарина, 15</t>
  </si>
  <si>
    <t>г. Гатчина,  ул. Гагарина, 16</t>
  </si>
  <si>
    <t>г. Гатчина,  ул. Гагарина, 18</t>
  </si>
  <si>
    <t>г. Гатчина,  ул. Киргетова,8</t>
  </si>
  <si>
    <t>г. Гатчина,  ул. Киргетова, 14</t>
  </si>
  <si>
    <t>г. Гатчина,  ул. Киргетова, 20</t>
  </si>
  <si>
    <t>г. Гатчина,  ул. Киргетова, 21</t>
  </si>
  <si>
    <t>г. Гатчина,  ул. Киргетова, 23</t>
  </si>
  <si>
    <t>Текущий ремонт кровли</t>
  </si>
  <si>
    <t>г. Гатчина,  ул. Киргетова, 24</t>
  </si>
  <si>
    <t>Ремонт кровли</t>
  </si>
  <si>
    <t>г. Гатчина,  ул. Киргетова, 25</t>
  </si>
  <si>
    <t>г. Гатчина,  ул. 7 Армии, 9</t>
  </si>
  <si>
    <t>Ремонтные работы</t>
  </si>
  <si>
    <t>г. Гатчина,  ул. 7 Армии, 6</t>
  </si>
  <si>
    <t>г. Гатчина,  пр. 25 Октября, 37</t>
  </si>
  <si>
    <t>г. Гатчина,  пр. 25 Октября, 41</t>
  </si>
  <si>
    <t>г. Гатчина,  пр. 25 Октября, 46</t>
  </si>
  <si>
    <t>г. Гатчина,  пр. 25 Октября, 50</t>
  </si>
  <si>
    <t>г. Гатчина,  ул. Изотова, 3Б</t>
  </si>
  <si>
    <t>Ремонт межпанельных швов</t>
  </si>
  <si>
    <t>г. Гатчина,  ул. Изотова, 3А</t>
  </si>
  <si>
    <t>г. Гатчина,  ул. Академика Константинова, 3</t>
  </si>
  <si>
    <t>г. Гатчина,  ул. Академика Константинова, 4</t>
  </si>
  <si>
    <t>г. Гатчина,  ул. Академика Константинова, 5</t>
  </si>
  <si>
    <t>г. Гатчина,  ул. Рощинская, 13</t>
  </si>
  <si>
    <t>г. Гатчина,  ул. Рощинская, 15</t>
  </si>
  <si>
    <t>г. Гатчина,  ул. Рощинская, 19</t>
  </si>
  <si>
    <t>г. Гатчина,  ул. Рощинская, 21</t>
  </si>
  <si>
    <t>г. Гатчина,  ул. Крупской , 8</t>
  </si>
  <si>
    <t>г. Гатчина,  ул. Крупской, 9</t>
  </si>
  <si>
    <t>г. Гатчина,  ул. Коли Подрядчикова, 11</t>
  </si>
  <si>
    <t>г. Гатчина,  ул. Коли Подрядчикова, 14</t>
  </si>
  <si>
    <t>г. Гатчина,  ул. Коли Подрядчикова, 16</t>
  </si>
  <si>
    <t>г. Гатчина,  ул. Филиппова, 4</t>
  </si>
  <si>
    <t>г. Гатчина,  ул. Изотова, 3</t>
  </si>
  <si>
    <t>,</t>
  </si>
  <si>
    <t>Начислено населению (тыс.руб.):</t>
  </si>
  <si>
    <t>Оплачено  населением (тыс.руб.)</t>
  </si>
  <si>
    <t>Оказано услуг населению (тыс.руб.):</t>
  </si>
  <si>
    <t>Финансовый результат от управления домом:Убыток (-), экономия (+),(тыс.руб.)</t>
  </si>
  <si>
    <t>Финансовый результат от управления домом:                    Убыток (-), экономия (+),(тыс.руб.)</t>
  </si>
  <si>
    <t>Финансовый результат от управления домом:                                          Убыток (-), экономия (+),(тыс.руб.)</t>
  </si>
  <si>
    <t>Финансовый результат от управления домом:                             Убыток (-), экономия (+),(тыс.руб.)</t>
  </si>
  <si>
    <t>Финансовый результат от управления домом:                                Убыток (-), экономия (+),(тыс.руб.)</t>
  </si>
  <si>
    <t>Финансовый результат от управления домом:                                                  Убыток (-), экономия (+),(тыс.руб.)</t>
  </si>
  <si>
    <t>Финансовый результат от управления домом:                                     Убыток (-), экономия (+),(тыс.руб.)</t>
  </si>
  <si>
    <t>Финансовый результат от управления домом:                                           Убыток (-), экономия (+),(тыс.руб.)</t>
  </si>
  <si>
    <t>Финансовый результат от управления домом:                                                        Убыток (-), экономия (+),(тыс.руб.)</t>
  </si>
  <si>
    <t>Финансовый результат от управления домом:                                                   Убыток (-), экономия (+),(тыс.руб.)</t>
  </si>
  <si>
    <t>Финансовый результат от управления домом:                                             Убыток (-), экономия (+),(тыс.руб.)</t>
  </si>
  <si>
    <t>Финансовый результат от управления домом:                                                Убыток (-), экономия (+),(тыс.руб.)</t>
  </si>
  <si>
    <t>Финансовый результат от управления домом:                                   Убыток (-), экономия (+),(тыс.руб.)</t>
  </si>
  <si>
    <t>Финансовый результат от управления домом:                               Убыток (-), экономия (+),(тыс.руб.)</t>
  </si>
  <si>
    <t>Финансовый результат от управления домом:                                         Убыток (-), экономия (+),(тыс.руб.)</t>
  </si>
  <si>
    <t>Финансовый результат от управления домом:                                      Убыток (-), экономия (+),(тыс.руб.)</t>
  </si>
  <si>
    <t>Финансовый результат от управления домом:                                    Убыток (-), экономия (+),(тыс.руб.)</t>
  </si>
  <si>
    <t>Финансовый результат от управления домом:                                              Убыток (-), экономия (+),(тыс.руб.)</t>
  </si>
  <si>
    <t>Финансовый результат от управления домом:                                               Убыток (-), экономия (+),(тыс.руб.)</t>
  </si>
  <si>
    <t>Финансовый результат от управления домом:                                        Убыток (-), экономия (+),(тыс.руб.)</t>
  </si>
  <si>
    <t>Работы, необходимые для содержания несущих конструкций и ненесущих конструкций, входящих в состав  общего имущества  мкд, в т.ч.:</t>
  </si>
  <si>
    <t>Работы, необходимые для содержания оборудования и систем  инженерно-технического обеспечения, входящих в состав  общего имущества  мкд, в т.ч.:</t>
  </si>
  <si>
    <t>1.4.</t>
  </si>
  <si>
    <t>План, тыс.руб.</t>
  </si>
  <si>
    <t>г. Гатчина,  ул. Гагарина, 21</t>
  </si>
  <si>
    <t>Работы, необходимые для содержания оборудования и систем  инженерно-технического обеспечения, входящих в состав  общего имущества  мкд</t>
  </si>
  <si>
    <t>Себестоимость работ , руб.</t>
  </si>
  <si>
    <t>с 01.01.2018г.</t>
  </si>
  <si>
    <t>с 01.07.2018г.</t>
  </si>
  <si>
    <t>с 01.07.2018г. :  хвс-теплоноситель,</t>
  </si>
  <si>
    <t>теплоэнергия на теплоноситель</t>
  </si>
  <si>
    <t>руб./Гкал</t>
  </si>
  <si>
    <t>Задолженность населения по дому на 01.11.2018г.</t>
  </si>
  <si>
    <t>Отделочные работы</t>
  </si>
  <si>
    <t>Выполненные работы и оказанные услуги  по мкд за 2018 год (январь-октябрь 2018г.)</t>
  </si>
  <si>
    <t>Работы, необходимые для содержания оборудования и систем  инженерно-технического обеспечения, входящих в состав  общего имущества  мкд: в т.ч.:</t>
  </si>
  <si>
    <t>Финансовый результат от управления домом: Убыток (-), экономия (+),(тыс.руб.)</t>
  </si>
  <si>
    <r>
      <t xml:space="preserve">Работы, выполняемые в целях надлежащего содержания </t>
    </r>
    <r>
      <rPr>
        <b/>
        <sz val="10"/>
        <color theme="1"/>
        <rFont val="Times New Roman"/>
        <family val="1"/>
        <charset val="204"/>
      </rPr>
      <t>сопротивления изоляции</t>
    </r>
    <r>
      <rPr>
        <sz val="10"/>
        <color theme="1"/>
        <rFont val="Times New Roman"/>
        <family val="1"/>
        <charset val="204"/>
      </rPr>
      <t xml:space="preserve">  мкд.</t>
    </r>
  </si>
  <si>
    <r>
      <t xml:space="preserve">Работы, выполняемые в целях надлежащего содержания </t>
    </r>
    <r>
      <rPr>
        <b/>
        <sz val="10"/>
        <color theme="1"/>
        <rFont val="Times New Roman"/>
        <family val="1"/>
        <charset val="204"/>
      </rPr>
      <t>индивидуальных тепловых пунктов</t>
    </r>
    <r>
      <rPr>
        <sz val="10"/>
        <color theme="1"/>
        <rFont val="Times New Roman"/>
        <family val="1"/>
        <charset val="204"/>
      </rPr>
      <t xml:space="preserve">  мкд.</t>
    </r>
  </si>
  <si>
    <r>
      <rPr>
        <sz val="10"/>
        <color theme="1"/>
        <rFont val="Times New Roman"/>
        <family val="1"/>
        <charset val="204"/>
      </rPr>
      <t>Работы, выполняемые в целях надлежащего содержания</t>
    </r>
    <r>
      <rPr>
        <b/>
        <sz val="10"/>
        <color theme="1"/>
        <rFont val="Times New Roman"/>
        <family val="1"/>
        <charset val="204"/>
      </rPr>
      <t xml:space="preserve"> индивидуальных тепловых пунктов  </t>
    </r>
    <r>
      <rPr>
        <sz val="10"/>
        <color theme="1"/>
        <rFont val="Times New Roman"/>
        <family val="1"/>
        <charset val="204"/>
      </rPr>
      <t>мкд.</t>
    </r>
  </si>
  <si>
    <t>Работы и услуги по содержанию иного общего  имущества  мкд (санитарные работы)</t>
  </si>
  <si>
    <r>
      <t xml:space="preserve">Работы, выполняемые в целях надлежащего содержания </t>
    </r>
    <r>
      <rPr>
        <b/>
        <sz val="10"/>
        <color theme="1"/>
        <rFont val="Times New Roman"/>
        <family val="1"/>
        <charset val="204"/>
      </rPr>
      <t>индивидуальных тепловых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пунктов </t>
    </r>
    <r>
      <rPr>
        <sz val="10"/>
        <color theme="1"/>
        <rFont val="Times New Roman"/>
        <family val="1"/>
        <charset val="204"/>
      </rPr>
      <t xml:space="preserve"> мкд.</t>
    </r>
  </si>
  <si>
    <t>Задолженность населения по дому на 11.01.2018г.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</si>
</sst>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workbookViewId="0">
      <selection activeCell="Q21" sqref="Q21:R21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1406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36</v>
      </c>
      <c r="B2" s="54"/>
      <c r="F2" s="1">
        <v>1330.63</v>
      </c>
    </row>
    <row r="3" spans="1:12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2" ht="38.25" x14ac:dyDescent="0.25">
      <c r="A4" s="6" t="s">
        <v>3</v>
      </c>
      <c r="B4" s="7" t="s">
        <v>97</v>
      </c>
      <c r="C4" s="11" t="s">
        <v>4</v>
      </c>
      <c r="D4" s="13">
        <f>H4*$F$2*10/1000+13</f>
        <v>31.628820000000001</v>
      </c>
      <c r="E4" s="13">
        <f>42.9+22.1</f>
        <v>65</v>
      </c>
      <c r="F4" s="27">
        <f>$F$14/$D$14*D4</f>
        <v>55.367737417943111</v>
      </c>
      <c r="G4" s="10">
        <f>F4/$F$2/10*1000</f>
        <v>4.1610167678425345</v>
      </c>
      <c r="H4" s="3">
        <v>1.4</v>
      </c>
      <c r="I4" s="17">
        <f>H4*$F$2*12/1000</f>
        <v>22.354584000000003</v>
      </c>
    </row>
    <row r="5" spans="1:12" x14ac:dyDescent="0.25">
      <c r="A5" s="42"/>
      <c r="B5" s="7" t="s">
        <v>110</v>
      </c>
      <c r="C5" s="11" t="s">
        <v>4</v>
      </c>
      <c r="D5" s="27"/>
      <c r="E5" s="27"/>
      <c r="F5" s="27">
        <v>35.6</v>
      </c>
      <c r="G5" s="10">
        <f t="shared" ref="G5:G13" si="0">F5/$F$2/10*1000</f>
        <v>2.675424423017668</v>
      </c>
      <c r="I5" s="17"/>
    </row>
    <row r="6" spans="1:12" ht="40.5" customHeight="1" x14ac:dyDescent="0.25">
      <c r="A6" s="35" t="s">
        <v>5</v>
      </c>
      <c r="B6" s="7" t="s">
        <v>98</v>
      </c>
      <c r="C6" s="11" t="s">
        <v>4</v>
      </c>
      <c r="D6" s="27">
        <f>H6*$F$2*10/1000</f>
        <v>36.193136000000003</v>
      </c>
      <c r="E6" s="27"/>
      <c r="F6" s="27">
        <f>$F$14/$D$14*D6</f>
        <v>63.357787308533922</v>
      </c>
      <c r="G6" s="10">
        <f t="shared" si="0"/>
        <v>4.7614879649890591</v>
      </c>
      <c r="H6" s="3">
        <v>2.72</v>
      </c>
      <c r="I6" s="17">
        <f>H6*$F$2*12/1000</f>
        <v>43.431763199999999</v>
      </c>
    </row>
    <row r="7" spans="1:12" ht="40.5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0.21042664001262554</v>
      </c>
      <c r="I7" s="17"/>
    </row>
    <row r="8" spans="1:12" ht="42.75" customHeight="1" x14ac:dyDescent="0.25">
      <c r="A8" s="6"/>
      <c r="B8" s="9" t="s">
        <v>27</v>
      </c>
      <c r="C8" s="5" t="s">
        <v>4</v>
      </c>
      <c r="D8" s="8">
        <v>1.6</v>
      </c>
      <c r="E8" s="8">
        <v>1.6</v>
      </c>
      <c r="F8" s="8">
        <v>1.6</v>
      </c>
      <c r="G8" s="10">
        <f t="shared" si="0"/>
        <v>0.1202437942929289</v>
      </c>
      <c r="H8" s="3">
        <v>0.2</v>
      </c>
      <c r="I8" s="17">
        <f t="shared" ref="I8:I13" si="1">H8*$F$2*12/1000</f>
        <v>3.1935120000000006</v>
      </c>
    </row>
    <row r="9" spans="1:12" ht="25.5" x14ac:dyDescent="0.25">
      <c r="A9" s="6"/>
      <c r="B9" s="9" t="s">
        <v>8</v>
      </c>
      <c r="C9" s="5" t="s">
        <v>4</v>
      </c>
      <c r="D9" s="8">
        <v>6.8</v>
      </c>
      <c r="E9" s="8"/>
      <c r="F9" s="8">
        <v>6.8</v>
      </c>
      <c r="G9" s="10">
        <f t="shared" si="0"/>
        <v>0.51103612574494783</v>
      </c>
      <c r="I9" s="17">
        <f t="shared" si="1"/>
        <v>0</v>
      </c>
    </row>
    <row r="10" spans="1:12" ht="31.5" customHeight="1" x14ac:dyDescent="0.25">
      <c r="A10" s="42"/>
      <c r="B10" s="9" t="s">
        <v>114</v>
      </c>
      <c r="C10" s="5" t="s">
        <v>4</v>
      </c>
      <c r="D10" s="8">
        <v>2.4</v>
      </c>
      <c r="E10" s="8"/>
      <c r="F10" s="8">
        <v>2.4</v>
      </c>
      <c r="G10" s="10">
        <f t="shared" si="0"/>
        <v>0.18036569143939335</v>
      </c>
      <c r="I10" s="17"/>
    </row>
    <row r="11" spans="1:12" ht="25.5" x14ac:dyDescent="0.25">
      <c r="A11" s="35" t="s">
        <v>6</v>
      </c>
      <c r="B11" s="7" t="s">
        <v>31</v>
      </c>
      <c r="C11" s="11" t="s">
        <v>4</v>
      </c>
      <c r="D11" s="27">
        <f>H11*$F$2*10/1000</f>
        <v>83.031312000000014</v>
      </c>
      <c r="E11" s="13">
        <v>91.4</v>
      </c>
      <c r="F11" s="27">
        <f>$F$14/$D$14*D11</f>
        <v>145.35021794310725</v>
      </c>
      <c r="G11" s="10">
        <f t="shared" si="0"/>
        <v>10.923413566739608</v>
      </c>
      <c r="H11" s="3">
        <v>6.24</v>
      </c>
      <c r="I11" s="17">
        <f t="shared" si="1"/>
        <v>99.637574400000005</v>
      </c>
    </row>
    <row r="12" spans="1:12" x14ac:dyDescent="0.25">
      <c r="A12" s="6"/>
      <c r="B12" s="4" t="s">
        <v>9</v>
      </c>
      <c r="C12" s="5" t="s">
        <v>4</v>
      </c>
      <c r="D12" s="4">
        <v>3.9</v>
      </c>
      <c r="E12" s="4">
        <v>3.3</v>
      </c>
      <c r="F12" s="27">
        <f>$F$14/$D$14*D12</f>
        <v>6.8271334792122538</v>
      </c>
      <c r="G12" s="10">
        <f t="shared" si="0"/>
        <v>0.5130752710529789</v>
      </c>
      <c r="I12" s="17">
        <f t="shared" si="1"/>
        <v>0</v>
      </c>
    </row>
    <row r="13" spans="1:12" x14ac:dyDescent="0.25">
      <c r="A13" s="35" t="s">
        <v>99</v>
      </c>
      <c r="B13" s="7" t="s">
        <v>10</v>
      </c>
      <c r="C13" s="11" t="s">
        <v>4</v>
      </c>
      <c r="D13" s="27">
        <f>H13*$F$2*10/1000</f>
        <v>31.935120000000001</v>
      </c>
      <c r="E13" s="6">
        <v>37.9</v>
      </c>
      <c r="F13" s="27">
        <f>$F$14/$D$14*D13</f>
        <v>55.903929978118164</v>
      </c>
      <c r="G13" s="10">
        <f t="shared" si="0"/>
        <v>4.2013129102844635</v>
      </c>
      <c r="H13" s="3">
        <v>2.4</v>
      </c>
      <c r="I13" s="17">
        <f t="shared" si="1"/>
        <v>38.322144000000002</v>
      </c>
    </row>
    <row r="14" spans="1:12" x14ac:dyDescent="0.25">
      <c r="A14" s="14"/>
      <c r="B14" s="14" t="s">
        <v>13</v>
      </c>
      <c r="C14" s="15" t="s">
        <v>4</v>
      </c>
      <c r="D14" s="16">
        <v>182.8</v>
      </c>
      <c r="E14" s="16">
        <f t="shared" ref="E14" si="2">SUM(E4:E13)</f>
        <v>202.00000000000003</v>
      </c>
      <c r="F14" s="16">
        <v>320</v>
      </c>
      <c r="G14" s="37">
        <f>G13+G11+G6+G4</f>
        <v>24.047231209855667</v>
      </c>
      <c r="H14" s="3">
        <f>SUM(H4:H13)</f>
        <v>12.96</v>
      </c>
      <c r="I14" s="18">
        <f>SUM(I4:I13)</f>
        <v>206.93957760000001</v>
      </c>
      <c r="K14" s="18">
        <f>D4+D6+D11+D13</f>
        <v>182.78838800000003</v>
      </c>
      <c r="L14" s="18">
        <f>F13+F11+F6+F4</f>
        <v>319.97967264770244</v>
      </c>
    </row>
    <row r="15" spans="1:12" ht="19.5" customHeight="1" x14ac:dyDescent="0.25">
      <c r="A15" s="4"/>
      <c r="B15" s="9" t="s">
        <v>12</v>
      </c>
      <c r="C15" s="5" t="s">
        <v>23</v>
      </c>
      <c r="D15" s="10">
        <f>D14/$F$2*1000/10</f>
        <v>13.737853497967128</v>
      </c>
      <c r="E15" s="10">
        <f t="shared" ref="E15" si="3">E14/$F$2*1000/12</f>
        <v>12.650649191235232</v>
      </c>
      <c r="F15" s="10">
        <f>F14/$F$2*1000/10</f>
        <v>24.048758858585781</v>
      </c>
      <c r="G15" s="10"/>
      <c r="I15" s="18"/>
    </row>
    <row r="16" spans="1:12" ht="18.75" customHeight="1" x14ac:dyDescent="0.25">
      <c r="A16" s="4"/>
      <c r="B16" s="9" t="s">
        <v>24</v>
      </c>
      <c r="C16" s="5" t="s">
        <v>23</v>
      </c>
      <c r="D16" s="8">
        <f>F2*H16/1000*10</f>
        <v>43.910789999999992</v>
      </c>
      <c r="E16" s="8">
        <f t="shared" ref="E16" si="4">G2*I16/1000*10</f>
        <v>0</v>
      </c>
      <c r="F16" s="8">
        <f>D16</f>
        <v>43.910789999999992</v>
      </c>
      <c r="G16" s="10">
        <f>F16/$F$2/10*1000</f>
        <v>3.2999999999999985</v>
      </c>
      <c r="H16" s="3">
        <v>3.3</v>
      </c>
      <c r="I16" s="18">
        <f>H16*F2/1000*12</f>
        <v>52.692947999999994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226.71079</v>
      </c>
      <c r="E17" s="8">
        <f t="shared" ref="E17:G17" si="5">E16+E14</f>
        <v>202.00000000000003</v>
      </c>
      <c r="F17" s="8">
        <f t="shared" si="5"/>
        <v>363.91079000000002</v>
      </c>
      <c r="G17" s="10">
        <f t="shared" si="5"/>
        <v>27.347231209855664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0">
        <v>14.89</v>
      </c>
      <c r="E33" s="50"/>
      <c r="F33" s="51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226.71079</v>
      </c>
    </row>
    <row r="38" spans="1:6" s="29" customFormat="1" x14ac:dyDescent="0.25">
      <c r="B38" s="29" t="s">
        <v>75</v>
      </c>
      <c r="C38" s="32">
        <v>209.5</v>
      </c>
    </row>
    <row r="39" spans="1:6" s="29" customFormat="1" x14ac:dyDescent="0.25">
      <c r="B39" s="29" t="s">
        <v>76</v>
      </c>
      <c r="C39" s="32">
        <f>F17</f>
        <v>363.91079000000002</v>
      </c>
    </row>
    <row r="40" spans="1:6" s="29" customFormat="1" ht="25.5" x14ac:dyDescent="0.25">
      <c r="B40" s="30" t="s">
        <v>77</v>
      </c>
      <c r="C40" s="32">
        <f>C37-C39</f>
        <v>-137.20000000000002</v>
      </c>
    </row>
    <row r="41" spans="1:6" x14ac:dyDescent="0.25">
      <c r="B41" s="33" t="s">
        <v>109</v>
      </c>
      <c r="C41" s="32">
        <v>168</v>
      </c>
    </row>
  </sheetData>
  <mergeCells count="20">
    <mergeCell ref="B34:F34"/>
    <mergeCell ref="D35:F35"/>
    <mergeCell ref="A1:G1"/>
    <mergeCell ref="D27:F27"/>
    <mergeCell ref="B28:F28"/>
    <mergeCell ref="D29:F29"/>
    <mergeCell ref="D30:F30"/>
    <mergeCell ref="B31:F31"/>
    <mergeCell ref="D22:F22"/>
    <mergeCell ref="D23:F23"/>
    <mergeCell ref="B24:F24"/>
    <mergeCell ref="D25:F25"/>
    <mergeCell ref="D26:F26"/>
    <mergeCell ref="A2:B2"/>
    <mergeCell ref="B18:F18"/>
    <mergeCell ref="D19:F19"/>
    <mergeCell ref="D20:F20"/>
    <mergeCell ref="B21:F2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"/>
  <sheetViews>
    <sheetView workbookViewId="0">
      <selection activeCell="M16" sqref="M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85546875" style="3" customWidth="1"/>
    <col min="8" max="8" width="10" style="3" customWidth="1"/>
    <col min="9" max="10" width="9.140625" style="3" hidden="1" customWidth="1"/>
    <col min="11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40</v>
      </c>
      <c r="B2" s="54"/>
      <c r="F2" s="1">
        <v>3597.72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42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50.368079999999985</v>
      </c>
      <c r="E4" s="13">
        <f>42.9+22.1</f>
        <v>65</v>
      </c>
      <c r="F4" s="13">
        <f>$F$13/$D$13*D4</f>
        <v>61.225380875202575</v>
      </c>
      <c r="G4" s="43">
        <f>F4/$F$2/10*1000</f>
        <v>1.7017828200972442</v>
      </c>
      <c r="I4" s="3">
        <v>1.4</v>
      </c>
      <c r="J4" s="17">
        <f>I4*$F$2*12/1000</f>
        <v>60.441695999999986</v>
      </c>
    </row>
    <row r="5" spans="1:12" ht="43.5" customHeight="1" x14ac:dyDescent="0.25">
      <c r="A5" s="35" t="s">
        <v>5</v>
      </c>
      <c r="B5" s="7" t="s">
        <v>98</v>
      </c>
      <c r="C5" s="11" t="s">
        <v>4</v>
      </c>
      <c r="D5" s="27">
        <f>I5*$F$2*10/1000+34.5</f>
        <v>132.35798399999999</v>
      </c>
      <c r="E5" s="27"/>
      <c r="F5" s="27">
        <f>$F$13/$D$13*D5</f>
        <v>160.88895948136141</v>
      </c>
      <c r="G5" s="43">
        <f t="shared" ref="G5:G12" si="0">F5/$F$2/10*1000</f>
        <v>4.471970011044812</v>
      </c>
      <c r="I5" s="3">
        <v>2.72</v>
      </c>
      <c r="J5" s="17"/>
    </row>
    <row r="6" spans="1:12" ht="27" customHeight="1" x14ac:dyDescent="0.25">
      <c r="A6" s="12"/>
      <c r="B6" s="9" t="s">
        <v>28</v>
      </c>
      <c r="C6" s="5" t="s">
        <v>4</v>
      </c>
      <c r="D6" s="8">
        <v>4.8</v>
      </c>
      <c r="E6" s="8">
        <v>4.8</v>
      </c>
      <c r="F6" s="8">
        <v>4.8</v>
      </c>
      <c r="G6" s="10">
        <f t="shared" si="0"/>
        <v>0.13341783129315232</v>
      </c>
      <c r="J6" s="17"/>
    </row>
    <row r="7" spans="1:12" ht="32.25" customHeight="1" x14ac:dyDescent="0.25">
      <c r="A7" s="12"/>
      <c r="B7" s="9" t="s">
        <v>27</v>
      </c>
      <c r="C7" s="5" t="s">
        <v>4</v>
      </c>
      <c r="D7" s="8">
        <f>I7*$F$2*10/1000</f>
        <v>7.1954399999999996</v>
      </c>
      <c r="E7" s="8">
        <f t="shared" ref="E7" si="1">J7*$F$2*10/1000</f>
        <v>0</v>
      </c>
      <c r="F7" s="8">
        <v>7.2</v>
      </c>
      <c r="G7" s="10">
        <f t="shared" si="0"/>
        <v>0.20012674693972851</v>
      </c>
      <c r="I7" s="3">
        <v>0.2</v>
      </c>
      <c r="J7" s="17"/>
    </row>
    <row r="8" spans="1:12" ht="25.5" x14ac:dyDescent="0.25">
      <c r="A8" s="12"/>
      <c r="B8" s="9" t="s">
        <v>8</v>
      </c>
      <c r="C8" s="5" t="s">
        <v>4</v>
      </c>
      <c r="D8" s="8">
        <v>6.8</v>
      </c>
      <c r="E8" s="8">
        <v>6.8</v>
      </c>
      <c r="F8" s="8">
        <v>6.8</v>
      </c>
      <c r="G8" s="10">
        <f t="shared" si="0"/>
        <v>0.18900859433196582</v>
      </c>
      <c r="J8" s="17">
        <f t="shared" ref="J8:J12" si="2">I8*$F$2*12/1000</f>
        <v>0</v>
      </c>
    </row>
    <row r="9" spans="1:12" ht="25.5" x14ac:dyDescent="0.25">
      <c r="A9" s="42"/>
      <c r="B9" s="9" t="s">
        <v>114</v>
      </c>
      <c r="C9" s="5" t="s">
        <v>4</v>
      </c>
      <c r="D9" s="8">
        <v>5.4</v>
      </c>
      <c r="E9" s="8">
        <v>5.4</v>
      </c>
      <c r="F9" s="8">
        <v>5.4</v>
      </c>
      <c r="G9" s="10">
        <f t="shared" si="0"/>
        <v>0.15009506020479638</v>
      </c>
      <c r="J9" s="17"/>
    </row>
    <row r="10" spans="1:12" ht="25.5" x14ac:dyDescent="0.25">
      <c r="A10" s="35" t="s">
        <v>6</v>
      </c>
      <c r="B10" s="7" t="s">
        <v>31</v>
      </c>
      <c r="C10" s="11" t="s">
        <v>4</v>
      </c>
      <c r="D10" s="27">
        <f>I10*$F$2*10/1000</f>
        <v>224.497728</v>
      </c>
      <c r="E10" s="13">
        <v>91.4</v>
      </c>
      <c r="F10" s="27">
        <f>$F$13/$D$13*D10</f>
        <v>272.8902690437601</v>
      </c>
      <c r="G10" s="10">
        <f t="shared" si="0"/>
        <v>7.585089141004862</v>
      </c>
      <c r="I10" s="3">
        <v>6.24</v>
      </c>
      <c r="J10" s="17">
        <f t="shared" si="2"/>
        <v>269.39727359999995</v>
      </c>
    </row>
    <row r="11" spans="1:12" x14ac:dyDescent="0.25">
      <c r="A11" s="12"/>
      <c r="B11" s="4" t="s">
        <v>9</v>
      </c>
      <c r="C11" s="5" t="s">
        <v>4</v>
      </c>
      <c r="D11" s="4">
        <v>6.9</v>
      </c>
      <c r="E11" s="4">
        <v>6.9</v>
      </c>
      <c r="F11" s="4">
        <v>6.9</v>
      </c>
      <c r="G11" s="10">
        <f t="shared" si="0"/>
        <v>0.1917881324839065</v>
      </c>
      <c r="J11" s="17"/>
    </row>
    <row r="12" spans="1:12" x14ac:dyDescent="0.25">
      <c r="A12" s="35" t="s">
        <v>99</v>
      </c>
      <c r="B12" s="7" t="s">
        <v>10</v>
      </c>
      <c r="C12" s="11" t="s">
        <v>4</v>
      </c>
      <c r="D12" s="13">
        <f>I12*F2*10/1000</f>
        <v>86.345279999999988</v>
      </c>
      <c r="E12" s="12">
        <v>37.9</v>
      </c>
      <c r="F12" s="27">
        <f>$F$13/$D$13*D12</f>
        <v>104.95779578606157</v>
      </c>
      <c r="G12" s="10">
        <f t="shared" si="0"/>
        <v>2.9173419773095621</v>
      </c>
      <c r="I12" s="3">
        <v>2.4</v>
      </c>
      <c r="J12" s="17">
        <f t="shared" si="2"/>
        <v>103.61433599999998</v>
      </c>
    </row>
    <row r="13" spans="1:12" x14ac:dyDescent="0.25">
      <c r="A13" s="14"/>
      <c r="B13" s="14" t="s">
        <v>13</v>
      </c>
      <c r="C13" s="15" t="s">
        <v>4</v>
      </c>
      <c r="D13" s="16">
        <v>493.6</v>
      </c>
      <c r="E13" s="16">
        <f>SUM(E4:E12)</f>
        <v>218.20000000000002</v>
      </c>
      <c r="F13" s="16">
        <v>600</v>
      </c>
      <c r="G13" s="37">
        <f>G12+G10+G5+G4</f>
        <v>16.67618394945648</v>
      </c>
      <c r="I13" s="3">
        <f>SUM(I4:I12)</f>
        <v>12.96</v>
      </c>
      <c r="J13" s="3">
        <f>SUM(J4:J12)</f>
        <v>433.45330559999991</v>
      </c>
      <c r="K13" s="18">
        <f>D12+D10+D5+D4</f>
        <v>493.56907199999995</v>
      </c>
      <c r="L13" s="18">
        <f>F12+F10+F5+F4</f>
        <v>599.96240518638569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13.719800317979168</v>
      </c>
      <c r="E14" s="10">
        <f t="shared" ref="E14:F14" si="3">E13/$F$2*1000/10</f>
        <v>6.064952247534551</v>
      </c>
      <c r="F14" s="10">
        <f t="shared" si="3"/>
        <v>16.677228911644043</v>
      </c>
      <c r="G14" s="10"/>
      <c r="J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F2*I15/1000*10</f>
        <v>118.72475999999999</v>
      </c>
      <c r="E15" s="8">
        <f>G2*J15/1000*10</f>
        <v>0</v>
      </c>
      <c r="F15" s="8">
        <f>D15</f>
        <v>118.72475999999999</v>
      </c>
      <c r="G15" s="10">
        <f>F15/$F$2/10*1000</f>
        <v>3.3</v>
      </c>
      <c r="I15" s="3">
        <v>3.3</v>
      </c>
      <c r="J15" s="18">
        <f>I15*F2/1000*12</f>
        <v>142.46971199999999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612.32475999999997</v>
      </c>
      <c r="E16" s="8">
        <f t="shared" ref="E16:G16" si="4">E15+E13</f>
        <v>218.20000000000002</v>
      </c>
      <c r="F16" s="8">
        <f t="shared" si="4"/>
        <v>718.72475999999995</v>
      </c>
      <c r="G16" s="10">
        <f t="shared" si="4"/>
        <v>19.97618394945648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12.96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2">
        <v>14.9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s="29" customFormat="1" x14ac:dyDescent="0.25">
      <c r="B36" s="29" t="s">
        <v>74</v>
      </c>
      <c r="C36" s="32">
        <f>D16</f>
        <v>612.32475999999997</v>
      </c>
    </row>
    <row r="37" spans="1:6" s="29" customFormat="1" x14ac:dyDescent="0.25">
      <c r="B37" s="29" t="s">
        <v>75</v>
      </c>
      <c r="C37" s="32">
        <v>635.5</v>
      </c>
    </row>
    <row r="38" spans="1:6" s="29" customFormat="1" x14ac:dyDescent="0.25">
      <c r="B38" s="29" t="s">
        <v>76</v>
      </c>
      <c r="C38" s="32">
        <f>F16</f>
        <v>718.72475999999995</v>
      </c>
    </row>
    <row r="39" spans="1:6" ht="25.5" x14ac:dyDescent="0.25">
      <c r="B39" s="30" t="s">
        <v>80</v>
      </c>
      <c r="C39" s="32">
        <f>C36-C38</f>
        <v>-106.39999999999998</v>
      </c>
    </row>
    <row r="40" spans="1:6" x14ac:dyDescent="0.25">
      <c r="B40" s="33" t="s">
        <v>109</v>
      </c>
      <c r="C40" s="32">
        <f>288.9-4.7</f>
        <v>284.2</v>
      </c>
    </row>
  </sheetData>
  <mergeCells count="20">
    <mergeCell ref="D34:F34"/>
    <mergeCell ref="A1:G1"/>
    <mergeCell ref="D29:F29"/>
    <mergeCell ref="B30:F30"/>
    <mergeCell ref="D31:F31"/>
    <mergeCell ref="D32:F32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A2:B2"/>
    <mergeCell ref="B33:F33"/>
  </mergeCells>
  <pageMargins left="0.51181102362204722" right="0.19685039370078741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workbookViewId="0">
      <selection activeCell="O18" sqref="O1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8554687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41</v>
      </c>
      <c r="B2" s="54"/>
      <c r="F2" s="1">
        <v>6659.71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5" customHeight="1" x14ac:dyDescent="0.25">
      <c r="A4" s="35" t="s">
        <v>3</v>
      </c>
      <c r="B4" s="7" t="s">
        <v>97</v>
      </c>
      <c r="C4" s="11" t="s">
        <v>4</v>
      </c>
      <c r="D4" s="13">
        <f>I4*$F$2*10/1000+36.5</f>
        <v>129.73593999999997</v>
      </c>
      <c r="E4" s="13">
        <f>42.9+22.1</f>
        <v>65</v>
      </c>
      <c r="F4" s="13">
        <f>$F$13/$D$13*D4</f>
        <v>152.81994963330698</v>
      </c>
      <c r="G4" s="10">
        <f>F4/$F$2/10*1000</f>
        <v>2.2946937574354891</v>
      </c>
      <c r="H4" s="3">
        <f>D4/$F$2*1000/12</f>
        <v>1.6233932608677151</v>
      </c>
      <c r="I4" s="3">
        <v>1.4</v>
      </c>
      <c r="J4" s="17">
        <f>I4*$F$2*12/1000</f>
        <v>111.883128</v>
      </c>
    </row>
    <row r="5" spans="1:13" ht="43.5" customHeight="1" x14ac:dyDescent="0.25">
      <c r="A5" s="35" t="s">
        <v>5</v>
      </c>
      <c r="B5" s="7" t="s">
        <v>98</v>
      </c>
      <c r="C5" s="11" t="s">
        <v>4</v>
      </c>
      <c r="D5" s="27">
        <f>I5*$F$2*10/1000</f>
        <v>181.14411200000004</v>
      </c>
      <c r="E5" s="27"/>
      <c r="F5" s="27">
        <f>$F$13/$D$13*D5</f>
        <v>213.37521485727186</v>
      </c>
      <c r="G5" s="10">
        <f t="shared" ref="G5:G12" si="0">F5/$F$2/10*1000</f>
        <v>3.20397156718944</v>
      </c>
      <c r="I5" s="3">
        <v>2.72</v>
      </c>
      <c r="J5" s="17"/>
    </row>
    <row r="6" spans="1:13" ht="27.75" customHeight="1" x14ac:dyDescent="0.25">
      <c r="A6" s="12"/>
      <c r="B6" s="9" t="s">
        <v>28</v>
      </c>
      <c r="C6" s="5" t="s">
        <v>4</v>
      </c>
      <c r="D6" s="8">
        <v>8.6999999999999993</v>
      </c>
      <c r="E6" s="8">
        <v>8.6999999999999993</v>
      </c>
      <c r="F6" s="8">
        <v>8.6999999999999993</v>
      </c>
      <c r="G6" s="10">
        <f t="shared" si="0"/>
        <v>0.13063631899887529</v>
      </c>
      <c r="J6" s="17"/>
    </row>
    <row r="7" spans="1:13" ht="27.75" customHeight="1" x14ac:dyDescent="0.25">
      <c r="A7" s="12"/>
      <c r="B7" s="9" t="s">
        <v>27</v>
      </c>
      <c r="C7" s="5" t="s">
        <v>4</v>
      </c>
      <c r="D7" s="8">
        <v>13.5</v>
      </c>
      <c r="E7" s="8">
        <v>13.5</v>
      </c>
      <c r="F7" s="8">
        <v>13.5</v>
      </c>
      <c r="G7" s="10">
        <f t="shared" si="0"/>
        <v>0.20271152948101345</v>
      </c>
      <c r="I7" s="3">
        <v>0.16</v>
      </c>
      <c r="J7" s="17"/>
    </row>
    <row r="8" spans="1:13" ht="27.75" customHeight="1" x14ac:dyDescent="0.25">
      <c r="A8" s="42"/>
      <c r="B8" s="9" t="s">
        <v>115</v>
      </c>
      <c r="C8" s="5" t="s">
        <v>4</v>
      </c>
      <c r="D8" s="8">
        <v>6.8</v>
      </c>
      <c r="E8" s="8">
        <v>6.8</v>
      </c>
      <c r="F8" s="8">
        <v>6.8</v>
      </c>
      <c r="G8" s="10">
        <f t="shared" si="0"/>
        <v>0.10210654818302899</v>
      </c>
      <c r="J8" s="17"/>
    </row>
    <row r="9" spans="1:13" ht="27.75" customHeight="1" x14ac:dyDescent="0.25">
      <c r="A9" s="42"/>
      <c r="B9" s="9" t="s">
        <v>114</v>
      </c>
      <c r="C9" s="5" t="s">
        <v>4</v>
      </c>
      <c r="D9" s="8">
        <v>10.9</v>
      </c>
      <c r="E9" s="8">
        <v>10.9</v>
      </c>
      <c r="F9" s="8">
        <v>10.9</v>
      </c>
      <c r="G9" s="10">
        <f t="shared" si="0"/>
        <v>0.1636707904698553</v>
      </c>
      <c r="J9" s="17"/>
    </row>
    <row r="10" spans="1:13" ht="25.5" x14ac:dyDescent="0.25">
      <c r="A10" s="12" t="s">
        <v>5</v>
      </c>
      <c r="B10" s="7" t="s">
        <v>31</v>
      </c>
      <c r="C10" s="11" t="s">
        <v>4</v>
      </c>
      <c r="D10" s="27">
        <f>I10*$F$2*10/1000</f>
        <v>415.56590399999999</v>
      </c>
      <c r="E10" s="13">
        <v>91.4</v>
      </c>
      <c r="F10" s="27">
        <f>$F$13/$D$13*D10</f>
        <v>489.50784584903533</v>
      </c>
      <c r="G10" s="10">
        <f t="shared" si="0"/>
        <v>7.3502877129640085</v>
      </c>
      <c r="I10" s="3">
        <v>6.24</v>
      </c>
      <c r="J10" s="17">
        <f t="shared" ref="J10:J12" si="1">I10*$F$2*12/1000</f>
        <v>498.6790848</v>
      </c>
    </row>
    <row r="11" spans="1:13" x14ac:dyDescent="0.25">
      <c r="A11" s="12"/>
      <c r="B11" s="4" t="s">
        <v>9</v>
      </c>
      <c r="C11" s="5" t="s">
        <v>4</v>
      </c>
      <c r="D11" s="4">
        <v>13.7</v>
      </c>
      <c r="E11" s="4">
        <v>13.7</v>
      </c>
      <c r="F11" s="4">
        <v>13.7</v>
      </c>
      <c r="G11" s="10">
        <f t="shared" si="0"/>
        <v>0.20571466325110249</v>
      </c>
      <c r="J11" s="17"/>
    </row>
    <row r="12" spans="1:13" x14ac:dyDescent="0.25">
      <c r="A12" s="12" t="s">
        <v>6</v>
      </c>
      <c r="B12" s="7" t="s">
        <v>10</v>
      </c>
      <c r="C12" s="11" t="s">
        <v>4</v>
      </c>
      <c r="D12" s="27">
        <f>I12*$F$2*10/1000</f>
        <v>159.83304000000001</v>
      </c>
      <c r="E12" s="12">
        <v>37.9</v>
      </c>
      <c r="F12" s="27">
        <f>$F$13/$D$13*D12</f>
        <v>188.27224840347515</v>
      </c>
      <c r="G12" s="10">
        <f t="shared" si="0"/>
        <v>2.8270337357553879</v>
      </c>
      <c r="I12" s="3">
        <v>2.4</v>
      </c>
      <c r="J12" s="17">
        <f t="shared" si="1"/>
        <v>191.79964799999999</v>
      </c>
    </row>
    <row r="13" spans="1:13" x14ac:dyDescent="0.25">
      <c r="A13" s="14"/>
      <c r="B13" s="14" t="s">
        <v>13</v>
      </c>
      <c r="C13" s="15" t="s">
        <v>4</v>
      </c>
      <c r="D13" s="16">
        <v>886.3</v>
      </c>
      <c r="E13" s="16">
        <f>SUM(E4:E12)</f>
        <v>247.9</v>
      </c>
      <c r="F13" s="16">
        <v>1044</v>
      </c>
      <c r="G13" s="37">
        <f>G12+G10+G5+G4</f>
        <v>15.675986773344325</v>
      </c>
      <c r="I13" s="3">
        <f>SUM(I4:I12)</f>
        <v>12.92</v>
      </c>
      <c r="J13" s="18">
        <f>SUM(J4:J12)</f>
        <v>802.36186079999993</v>
      </c>
      <c r="L13" s="18">
        <f>D12+D10+D5+D4</f>
        <v>886.27899600000001</v>
      </c>
      <c r="M13" s="18">
        <f>F4+F5+F10+F12</f>
        <v>1043.9752587430894</v>
      </c>
    </row>
    <row r="14" spans="1:13" ht="19.5" customHeight="1" x14ac:dyDescent="0.25">
      <c r="A14" s="4"/>
      <c r="B14" s="9" t="s">
        <v>12</v>
      </c>
      <c r="C14" s="5" t="s">
        <v>23</v>
      </c>
      <c r="D14" s="10">
        <f>D13/$F$2*1000/10</f>
        <v>13.308387302149793</v>
      </c>
      <c r="E14" s="10">
        <f t="shared" ref="E14:F14" si="2">E13/$F$2*1000/10</f>
        <v>3.7223843080254246</v>
      </c>
      <c r="F14" s="10">
        <f t="shared" si="2"/>
        <v>15.676358279865038</v>
      </c>
      <c r="G14" s="10"/>
      <c r="J14" s="18"/>
    </row>
    <row r="15" spans="1:13" ht="18.75" customHeight="1" x14ac:dyDescent="0.25">
      <c r="A15" s="4"/>
      <c r="B15" s="9" t="s">
        <v>24</v>
      </c>
      <c r="C15" s="5" t="s">
        <v>23</v>
      </c>
      <c r="D15" s="8">
        <f>F2*I15/1000*10</f>
        <v>219.77042999999998</v>
      </c>
      <c r="E15" s="8">
        <f>G2*J15/1000*10</f>
        <v>0</v>
      </c>
      <c r="F15" s="8">
        <f>D15</f>
        <v>219.77042999999998</v>
      </c>
      <c r="G15" s="10">
        <f>F15/$F$2/10*1000</f>
        <v>3.2999999999999994</v>
      </c>
      <c r="I15" s="3">
        <v>3.3</v>
      </c>
      <c r="J15" s="18">
        <f>I15*F2/1000*12</f>
        <v>263.72451599999999</v>
      </c>
    </row>
    <row r="16" spans="1:13" x14ac:dyDescent="0.25">
      <c r="A16" s="4"/>
      <c r="B16" s="4" t="s">
        <v>14</v>
      </c>
      <c r="C16" s="5" t="s">
        <v>4</v>
      </c>
      <c r="D16" s="8">
        <f>D15+D13</f>
        <v>1106.07043</v>
      </c>
      <c r="E16" s="8">
        <f t="shared" ref="E16:J16" si="3">E15+E13</f>
        <v>247.9</v>
      </c>
      <c r="F16" s="8">
        <f t="shared" si="3"/>
        <v>1263.77043</v>
      </c>
      <c r="G16" s="10">
        <f t="shared" si="3"/>
        <v>18.975986773344324</v>
      </c>
      <c r="H16" s="8">
        <f t="shared" si="3"/>
        <v>0</v>
      </c>
      <c r="I16" s="8">
        <f t="shared" si="3"/>
        <v>16.22</v>
      </c>
      <c r="J16" s="8">
        <f t="shared" si="3"/>
        <v>1066.0863767999999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12.92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2">
        <v>14.34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s="29" customFormat="1" x14ac:dyDescent="0.25">
      <c r="B36" s="29" t="s">
        <v>74</v>
      </c>
      <c r="C36" s="32">
        <f>D16</f>
        <v>1106.07043</v>
      </c>
    </row>
    <row r="37" spans="1:6" s="29" customFormat="1" x14ac:dyDescent="0.25">
      <c r="B37" s="29" t="s">
        <v>75</v>
      </c>
      <c r="C37" s="32">
        <v>1021</v>
      </c>
    </row>
    <row r="38" spans="1:6" s="29" customFormat="1" x14ac:dyDescent="0.25">
      <c r="B38" s="29" t="s">
        <v>76</v>
      </c>
      <c r="C38" s="32">
        <f>F16</f>
        <v>1263.77043</v>
      </c>
    </row>
    <row r="39" spans="1:6" ht="25.5" x14ac:dyDescent="0.25">
      <c r="B39" s="30" t="s">
        <v>80</v>
      </c>
      <c r="C39" s="32">
        <f>C36-C38</f>
        <v>-157.70000000000005</v>
      </c>
    </row>
    <row r="40" spans="1:6" x14ac:dyDescent="0.25">
      <c r="B40" s="33" t="s">
        <v>109</v>
      </c>
      <c r="C40" s="32">
        <f>1242.6-21.2</f>
        <v>1221.3999999999999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9"/>
  <sheetViews>
    <sheetView workbookViewId="0">
      <selection activeCell="Q18" sqref="Q1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14062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42</v>
      </c>
      <c r="B2" s="54"/>
      <c r="F2" s="1">
        <v>1988.39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7.25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27.83746</v>
      </c>
      <c r="E4" s="13">
        <f>42.9+22.1</f>
        <v>65</v>
      </c>
      <c r="F4" s="13">
        <f>$F$12/$D$12*D4</f>
        <v>39.511233548387096</v>
      </c>
      <c r="G4" s="10">
        <f>F4/$F$2/10*1000</f>
        <v>1.9870967741935481</v>
      </c>
      <c r="H4" s="3">
        <f>D4/$F$2*1000/12</f>
        <v>1.1666666666666665</v>
      </c>
      <c r="I4" s="3">
        <v>1.4</v>
      </c>
      <c r="J4" s="17">
        <f>I4*$F$2*12/1000</f>
        <v>33.404952000000002</v>
      </c>
    </row>
    <row r="5" spans="1:13" ht="45.75" customHeight="1" x14ac:dyDescent="0.25">
      <c r="A5" s="35" t="s">
        <v>5</v>
      </c>
      <c r="B5" s="7" t="s">
        <v>98</v>
      </c>
      <c r="C5" s="11" t="s">
        <v>4</v>
      </c>
      <c r="D5" s="27">
        <f>I5*$F$2*10/1000-5.7</f>
        <v>48.384208000000001</v>
      </c>
      <c r="E5" s="13"/>
      <c r="F5" s="27">
        <f>$F$12/$D$12*D5</f>
        <v>68.67435974193549</v>
      </c>
      <c r="G5" s="10">
        <f t="shared" ref="G5:G11" si="0">F5/$F$2/10*1000</f>
        <v>3.4537671051421239</v>
      </c>
      <c r="I5" s="3">
        <v>2.72</v>
      </c>
      <c r="J5" s="17">
        <f t="shared" ref="J5:J7" si="1">I5*$F$2*12/1000</f>
        <v>64.901049600000007</v>
      </c>
    </row>
    <row r="6" spans="1:13" ht="30" customHeight="1" x14ac:dyDescent="0.25">
      <c r="A6" s="12"/>
      <c r="B6" s="9" t="s">
        <v>28</v>
      </c>
      <c r="C6" s="5" t="s">
        <v>4</v>
      </c>
      <c r="D6" s="8">
        <v>2.8</v>
      </c>
      <c r="E6" s="8">
        <v>2.8</v>
      </c>
      <c r="F6" s="8">
        <v>2.8</v>
      </c>
      <c r="G6" s="10">
        <f t="shared" si="0"/>
        <v>0.14081744526979112</v>
      </c>
      <c r="J6" s="17">
        <f t="shared" si="1"/>
        <v>0</v>
      </c>
    </row>
    <row r="7" spans="1:13" ht="32.25" customHeight="1" x14ac:dyDescent="0.25">
      <c r="A7" s="12"/>
      <c r="B7" s="9" t="s">
        <v>27</v>
      </c>
      <c r="C7" s="5" t="s">
        <v>4</v>
      </c>
      <c r="D7" s="4">
        <v>3.2</v>
      </c>
      <c r="E7" s="4">
        <v>3.2</v>
      </c>
      <c r="F7" s="4">
        <v>3.2</v>
      </c>
      <c r="G7" s="10">
        <f t="shared" si="0"/>
        <v>0.16093422316547557</v>
      </c>
      <c r="I7" s="3">
        <v>0.27</v>
      </c>
      <c r="J7" s="17">
        <f t="shared" si="1"/>
        <v>6.4423836000000012</v>
      </c>
    </row>
    <row r="8" spans="1:13" ht="25.5" x14ac:dyDescent="0.25">
      <c r="A8" s="12"/>
      <c r="B8" s="9" t="s">
        <v>8</v>
      </c>
      <c r="C8" s="5" t="s">
        <v>4</v>
      </c>
      <c r="D8" s="4">
        <v>6.8</v>
      </c>
      <c r="E8" s="4">
        <v>6.8</v>
      </c>
      <c r="F8" s="4">
        <v>6.8</v>
      </c>
      <c r="G8" s="10">
        <f t="shared" si="0"/>
        <v>0.34198522422663558</v>
      </c>
      <c r="J8" s="17">
        <f t="shared" ref="J8:J11" si="2">I8*$F$2*12/1000</f>
        <v>0</v>
      </c>
    </row>
    <row r="9" spans="1:13" ht="25.5" x14ac:dyDescent="0.25">
      <c r="A9" s="12" t="s">
        <v>5</v>
      </c>
      <c r="B9" s="7" t="s">
        <v>31</v>
      </c>
      <c r="C9" s="11" t="s">
        <v>4</v>
      </c>
      <c r="D9" s="27">
        <f>I9*$F$2*10/1000</f>
        <v>124.07553600000001</v>
      </c>
      <c r="E9" s="13">
        <v>91.4</v>
      </c>
      <c r="F9" s="27">
        <f>$F$12/$D$12*D9</f>
        <v>176.10721238709681</v>
      </c>
      <c r="G9" s="10">
        <f t="shared" si="0"/>
        <v>8.8567741935483895</v>
      </c>
      <c r="I9" s="3">
        <v>6.24</v>
      </c>
      <c r="J9" s="17">
        <f t="shared" si="2"/>
        <v>148.89064320000003</v>
      </c>
    </row>
    <row r="10" spans="1:13" x14ac:dyDescent="0.25">
      <c r="A10" s="12"/>
      <c r="B10" s="4" t="s">
        <v>9</v>
      </c>
      <c r="C10" s="5" t="s">
        <v>4</v>
      </c>
      <c r="D10" s="4">
        <v>4.5</v>
      </c>
      <c r="E10" s="4">
        <v>3.3</v>
      </c>
      <c r="F10" s="27">
        <f>$F$15/$D$15*D10</f>
        <v>5.9922666628233356</v>
      </c>
      <c r="G10" s="10">
        <f t="shared" si="0"/>
        <v>0.30136274386932821</v>
      </c>
      <c r="J10" s="17"/>
    </row>
    <row r="11" spans="1:13" x14ac:dyDescent="0.25">
      <c r="A11" s="12" t="s">
        <v>6</v>
      </c>
      <c r="B11" s="7" t="s">
        <v>10</v>
      </c>
      <c r="C11" s="11" t="s">
        <v>4</v>
      </c>
      <c r="D11" s="27">
        <f>I11*$F$2*10/1000</f>
        <v>47.721359999999997</v>
      </c>
      <c r="E11" s="12">
        <v>37.9</v>
      </c>
      <c r="F11" s="27">
        <f>$F$12/$D$12*D11</f>
        <v>67.733543225806457</v>
      </c>
      <c r="G11" s="10">
        <f t="shared" si="0"/>
        <v>3.4064516129032261</v>
      </c>
      <c r="I11" s="3">
        <v>2.4</v>
      </c>
      <c r="J11" s="17">
        <f t="shared" si="2"/>
        <v>57.265632000000004</v>
      </c>
    </row>
    <row r="12" spans="1:13" x14ac:dyDescent="0.25">
      <c r="A12" s="14"/>
      <c r="B12" s="14" t="s">
        <v>13</v>
      </c>
      <c r="C12" s="15" t="s">
        <v>4</v>
      </c>
      <c r="D12" s="16">
        <v>248</v>
      </c>
      <c r="E12" s="16">
        <f t="shared" ref="E12" si="3">SUM(E4:E11)</f>
        <v>210.4</v>
      </c>
      <c r="F12" s="16">
        <v>352</v>
      </c>
      <c r="G12" s="37">
        <f>G11+G9+G5+G4</f>
        <v>17.704089685787288</v>
      </c>
      <c r="I12" s="3">
        <f>SUM(I4:I11)</f>
        <v>13.030000000000001</v>
      </c>
      <c r="J12" s="18">
        <f>SUM(J4:J11)</f>
        <v>310.90466040000001</v>
      </c>
      <c r="L12" s="18">
        <f>D11+D9+D5+D4</f>
        <v>248.018564</v>
      </c>
      <c r="M12" s="18">
        <f>F11+F9+F5+F4</f>
        <v>352.02634890322582</v>
      </c>
    </row>
    <row r="13" spans="1:13" ht="19.5" customHeight="1" x14ac:dyDescent="0.25">
      <c r="A13" s="4"/>
      <c r="B13" s="9" t="s">
        <v>12</v>
      </c>
      <c r="C13" s="5" t="s">
        <v>23</v>
      </c>
      <c r="D13" s="10">
        <f>D12/$F$2*1000/10</f>
        <v>12.472402295324358</v>
      </c>
      <c r="E13" s="10">
        <f t="shared" ref="E13:F13" si="4">E12/$F$2*1000/10</f>
        <v>10.58142517313002</v>
      </c>
      <c r="F13" s="10">
        <f t="shared" si="4"/>
        <v>17.702764548202314</v>
      </c>
      <c r="G13" s="10"/>
      <c r="J13" s="18"/>
    </row>
    <row r="14" spans="1:13" ht="18.75" customHeight="1" x14ac:dyDescent="0.25">
      <c r="A14" s="4"/>
      <c r="B14" s="9" t="s">
        <v>24</v>
      </c>
      <c r="C14" s="5" t="s">
        <v>23</v>
      </c>
      <c r="D14" s="8">
        <f>F2*I14/1000*10</f>
        <v>65.616870000000006</v>
      </c>
      <c r="E14" s="8">
        <v>49.8</v>
      </c>
      <c r="F14" s="27">
        <f>D14</f>
        <v>65.616870000000006</v>
      </c>
      <c r="G14" s="10">
        <f>F14/$F$2/10*1000</f>
        <v>3.3</v>
      </c>
      <c r="I14" s="3">
        <v>3.3</v>
      </c>
      <c r="J14" s="18">
        <f>I14*F2/1000*12</f>
        <v>78.740244000000004</v>
      </c>
    </row>
    <row r="15" spans="1:13" x14ac:dyDescent="0.25">
      <c r="A15" s="4"/>
      <c r="B15" s="4" t="s">
        <v>14</v>
      </c>
      <c r="C15" s="5" t="s">
        <v>4</v>
      </c>
      <c r="D15" s="8">
        <f>D14+D12</f>
        <v>313.61687000000001</v>
      </c>
      <c r="E15" s="8">
        <f t="shared" ref="E15:G15" si="5">E14+E12</f>
        <v>260.2</v>
      </c>
      <c r="F15" s="8">
        <f t="shared" si="5"/>
        <v>417.61687000000001</v>
      </c>
      <c r="G15" s="10">
        <f t="shared" si="5"/>
        <v>21.004089685787289</v>
      </c>
    </row>
    <row r="16" spans="1:13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11.05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2">
        <v>12.71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s="29" customFormat="1" x14ac:dyDescent="0.25">
      <c r="B35" s="29" t="s">
        <v>74</v>
      </c>
      <c r="C35" s="32">
        <f>D15</f>
        <v>313.61687000000001</v>
      </c>
    </row>
    <row r="36" spans="1:6" s="29" customFormat="1" x14ac:dyDescent="0.25">
      <c r="B36" s="29" t="s">
        <v>75</v>
      </c>
      <c r="C36" s="32">
        <v>293.7</v>
      </c>
    </row>
    <row r="37" spans="1:6" s="29" customFormat="1" x14ac:dyDescent="0.25">
      <c r="B37" s="29" t="s">
        <v>76</v>
      </c>
      <c r="C37" s="32">
        <f>F15</f>
        <v>417.61687000000001</v>
      </c>
    </row>
    <row r="38" spans="1:6" ht="25.5" x14ac:dyDescent="0.25">
      <c r="B38" s="30" t="s">
        <v>81</v>
      </c>
      <c r="C38" s="32">
        <f>C35-C37</f>
        <v>-104</v>
      </c>
    </row>
    <row r="39" spans="1:6" x14ac:dyDescent="0.25">
      <c r="B39" s="33" t="s">
        <v>109</v>
      </c>
      <c r="C39" s="32">
        <f>680.8-7.3</f>
        <v>673.5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9"/>
  <sheetViews>
    <sheetView workbookViewId="0">
      <selection activeCell="O20" sqref="O20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14.25" customHeight="1" x14ac:dyDescent="0.25">
      <c r="A2" s="54" t="s">
        <v>43</v>
      </c>
      <c r="B2" s="54"/>
      <c r="F2" s="1">
        <v>1973.83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5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27.633619999999997</v>
      </c>
      <c r="E4" s="13">
        <f>42.9+22.1</f>
        <v>65</v>
      </c>
      <c r="F4" s="13">
        <f>$F$12/$D$12*D4</f>
        <v>36.704197557251902</v>
      </c>
      <c r="G4" s="10">
        <f>F4/$F$2/10*1000</f>
        <v>1.8595419847328241</v>
      </c>
      <c r="H4" s="3">
        <f>D4/$F$2*1000/12</f>
        <v>1.1666666666666665</v>
      </c>
      <c r="I4" s="3">
        <v>1.4</v>
      </c>
      <c r="J4" s="17">
        <f>I4*$F$2*12/1000</f>
        <v>33.160343999999995</v>
      </c>
    </row>
    <row r="5" spans="1:13" ht="44.25" customHeight="1" x14ac:dyDescent="0.25">
      <c r="A5" s="35" t="s">
        <v>5</v>
      </c>
      <c r="B5" s="7" t="s">
        <v>98</v>
      </c>
      <c r="C5" s="11" t="s">
        <v>4</v>
      </c>
      <c r="D5" s="27">
        <f>I5*$F$2*10/1000+10.1</f>
        <v>63.788176000000007</v>
      </c>
      <c r="E5" s="13"/>
      <c r="F5" s="27">
        <f>$F$12/$D$12*D5</f>
        <v>84.72627957251909</v>
      </c>
      <c r="G5" s="10">
        <f t="shared" ref="G5:G11" si="0">F5/$F$2/10*1000</f>
        <v>4.2924810937375097</v>
      </c>
      <c r="I5" s="3">
        <v>2.72</v>
      </c>
      <c r="J5" s="17">
        <f t="shared" ref="J5:J7" si="1">I5*$F$2*12/1000</f>
        <v>64.425811199999998</v>
      </c>
    </row>
    <row r="6" spans="1:13" ht="30" customHeight="1" x14ac:dyDescent="0.25">
      <c r="A6" s="12"/>
      <c r="B6" s="9" t="s">
        <v>28</v>
      </c>
      <c r="C6" s="5" t="s">
        <v>4</v>
      </c>
      <c r="D6" s="8">
        <v>2.9</v>
      </c>
      <c r="E6" s="8">
        <v>2.9</v>
      </c>
      <c r="F6" s="8">
        <v>2.9</v>
      </c>
      <c r="G6" s="10">
        <f t="shared" si="0"/>
        <v>0.14692248065942862</v>
      </c>
      <c r="J6" s="17"/>
    </row>
    <row r="7" spans="1:13" ht="32.25" customHeight="1" x14ac:dyDescent="0.25">
      <c r="A7" s="12"/>
      <c r="B7" s="9" t="s">
        <v>27</v>
      </c>
      <c r="C7" s="5" t="s">
        <v>4</v>
      </c>
      <c r="D7" s="4">
        <v>5.0999999999999996</v>
      </c>
      <c r="E7" s="4">
        <v>5.0999999999999996</v>
      </c>
      <c r="F7" s="4">
        <v>5.0999999999999996</v>
      </c>
      <c r="G7" s="10">
        <f t="shared" si="0"/>
        <v>0.25838091426313309</v>
      </c>
      <c r="I7" s="3">
        <v>0.27</v>
      </c>
      <c r="J7" s="17">
        <f t="shared" si="1"/>
        <v>6.3952092000000009</v>
      </c>
    </row>
    <row r="8" spans="1:13" ht="25.5" x14ac:dyDescent="0.25">
      <c r="A8" s="12"/>
      <c r="B8" s="9" t="s">
        <v>8</v>
      </c>
      <c r="C8" s="5" t="s">
        <v>4</v>
      </c>
      <c r="D8" s="4">
        <v>6.8</v>
      </c>
      <c r="E8" s="4">
        <v>6.8</v>
      </c>
      <c r="F8" s="4">
        <v>6.8</v>
      </c>
      <c r="G8" s="10">
        <f t="shared" si="0"/>
        <v>0.34450788568417745</v>
      </c>
      <c r="J8" s="17">
        <f t="shared" ref="J8:J11" si="2">I8*$F$2*12/1000</f>
        <v>0</v>
      </c>
    </row>
    <row r="9" spans="1:13" ht="25.5" x14ac:dyDescent="0.25">
      <c r="A9" s="12" t="s">
        <v>5</v>
      </c>
      <c r="B9" s="7" t="s">
        <v>31</v>
      </c>
      <c r="C9" s="11" t="s">
        <v>4</v>
      </c>
      <c r="D9" s="27">
        <f>I9*$F$2*10/1000</f>
        <v>123.16699199999999</v>
      </c>
      <c r="E9" s="13">
        <v>91.4</v>
      </c>
      <c r="F9" s="27">
        <f>$F$12/$D$12*D9</f>
        <v>163.59585196946563</v>
      </c>
      <c r="G9" s="10">
        <f t="shared" si="0"/>
        <v>8.2882442748091574</v>
      </c>
      <c r="I9" s="3">
        <v>6.24</v>
      </c>
      <c r="J9" s="17">
        <f t="shared" si="2"/>
        <v>147.80039039999997</v>
      </c>
    </row>
    <row r="10" spans="1:13" x14ac:dyDescent="0.25">
      <c r="A10" s="12"/>
      <c r="B10" s="4" t="s">
        <v>9</v>
      </c>
      <c r="C10" s="5" t="s">
        <v>4</v>
      </c>
      <c r="D10" s="4">
        <v>5.4</v>
      </c>
      <c r="E10" s="4">
        <v>5.4</v>
      </c>
      <c r="F10" s="4">
        <v>5.4</v>
      </c>
      <c r="G10" s="10">
        <f t="shared" si="0"/>
        <v>0.27357979157272921</v>
      </c>
      <c r="J10" s="17"/>
    </row>
    <row r="11" spans="1:13" x14ac:dyDescent="0.25">
      <c r="A11" s="12" t="s">
        <v>6</v>
      </c>
      <c r="B11" s="7" t="s">
        <v>10</v>
      </c>
      <c r="C11" s="11" t="s">
        <v>4</v>
      </c>
      <c r="D11" s="27">
        <f>I11*$F$2*10/1000</f>
        <v>47.371919999999996</v>
      </c>
      <c r="E11" s="12">
        <v>37.9</v>
      </c>
      <c r="F11" s="27">
        <f>$F$12/$D$12*D11</f>
        <v>62.92148152671755</v>
      </c>
      <c r="G11" s="10">
        <f t="shared" si="0"/>
        <v>3.1877862595419844</v>
      </c>
      <c r="I11" s="3">
        <v>2.4</v>
      </c>
      <c r="J11" s="17">
        <f t="shared" si="2"/>
        <v>56.846304000000003</v>
      </c>
    </row>
    <row r="12" spans="1:13" x14ac:dyDescent="0.25">
      <c r="A12" s="14"/>
      <c r="B12" s="14" t="s">
        <v>13</v>
      </c>
      <c r="C12" s="15" t="s">
        <v>4</v>
      </c>
      <c r="D12" s="16">
        <v>262</v>
      </c>
      <c r="E12" s="16">
        <f>SUM(E4:E11)</f>
        <v>214.5</v>
      </c>
      <c r="F12" s="16">
        <v>348</v>
      </c>
      <c r="G12" s="37">
        <f>G11+G9+G5+G4</f>
        <v>17.628053612821478</v>
      </c>
      <c r="I12" s="3">
        <f>SUM(I4:I11)</f>
        <v>13.030000000000001</v>
      </c>
      <c r="J12" s="18">
        <f>SUM(J4:J11)</f>
        <v>308.62805879999996</v>
      </c>
      <c r="L12" s="18">
        <f>D11+D9+D5+D4</f>
        <v>261.96070800000001</v>
      </c>
      <c r="M12" s="18">
        <f>F11+F9+F5+F4</f>
        <v>347.94781062595416</v>
      </c>
    </row>
    <row r="13" spans="1:13" ht="15.75" customHeight="1" x14ac:dyDescent="0.25">
      <c r="A13" s="4"/>
      <c r="B13" s="9" t="s">
        <v>12</v>
      </c>
      <c r="C13" s="5" t="s">
        <v>23</v>
      </c>
      <c r="D13" s="10">
        <f>D12/$F$2*1000/10</f>
        <v>13.273686183713897</v>
      </c>
      <c r="E13" s="10">
        <f t="shared" ref="E13:F13" si="3">E12/$F$2*1000/10</f>
        <v>10.867197276361185</v>
      </c>
      <c r="F13" s="10">
        <f t="shared" si="3"/>
        <v>17.630697679131437</v>
      </c>
      <c r="G13" s="10"/>
      <c r="J13" s="18"/>
    </row>
    <row r="14" spans="1:13" ht="17.25" customHeight="1" x14ac:dyDescent="0.25">
      <c r="A14" s="4"/>
      <c r="B14" s="9" t="s">
        <v>24</v>
      </c>
      <c r="C14" s="5" t="s">
        <v>23</v>
      </c>
      <c r="D14" s="8">
        <f>F2*I14/1000*10</f>
        <v>65.136389999999992</v>
      </c>
      <c r="E14" s="8">
        <v>49.8</v>
      </c>
      <c r="F14" s="27">
        <f>D14</f>
        <v>65.136389999999992</v>
      </c>
      <c r="G14" s="10">
        <f>F14/$F$2/10*1000</f>
        <v>3.2999999999999994</v>
      </c>
      <c r="I14" s="3">
        <v>3.3</v>
      </c>
      <c r="J14" s="18">
        <f>I14*F2/1000*12</f>
        <v>78.163668000000001</v>
      </c>
    </row>
    <row r="15" spans="1:13" x14ac:dyDescent="0.25">
      <c r="A15" s="4"/>
      <c r="B15" s="4" t="s">
        <v>14</v>
      </c>
      <c r="C15" s="5" t="s">
        <v>4</v>
      </c>
      <c r="D15" s="8">
        <f>D14+D12</f>
        <v>327.13639000000001</v>
      </c>
      <c r="E15" s="8">
        <f t="shared" ref="E15:G15" si="4">E14+E12</f>
        <v>264.3</v>
      </c>
      <c r="F15" s="8">
        <f t="shared" si="4"/>
        <v>413.13639000000001</v>
      </c>
      <c r="G15" s="10">
        <f t="shared" si="4"/>
        <v>20.928053612821479</v>
      </c>
    </row>
    <row r="16" spans="1:13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12.97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2">
        <v>14.99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327.13639000000001</v>
      </c>
    </row>
    <row r="36" spans="1:6" x14ac:dyDescent="0.25">
      <c r="B36" s="29" t="s">
        <v>75</v>
      </c>
      <c r="C36" s="34">
        <v>294.39999999999998</v>
      </c>
    </row>
    <row r="37" spans="1:6" x14ac:dyDescent="0.25">
      <c r="B37" s="29" t="s">
        <v>76</v>
      </c>
      <c r="C37" s="32">
        <f>F15</f>
        <v>413.13639000000001</v>
      </c>
    </row>
    <row r="38" spans="1:6" ht="25.5" x14ac:dyDescent="0.25">
      <c r="B38" s="30" t="s">
        <v>82</v>
      </c>
      <c r="C38" s="32">
        <f>C35-C37</f>
        <v>-86</v>
      </c>
    </row>
    <row r="39" spans="1:6" x14ac:dyDescent="0.25">
      <c r="B39" s="33" t="s">
        <v>109</v>
      </c>
      <c r="C39" s="34">
        <v>241.3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workbookViewId="0">
      <selection activeCell="G16" sqref="G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7109375" style="3" customWidth="1"/>
    <col min="8" max="8" width="10" style="3" customWidth="1"/>
    <col min="9" max="10" width="9.140625" style="3" hidden="1" customWidth="1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44</v>
      </c>
      <c r="B2" s="54"/>
      <c r="F2" s="1">
        <v>3434.8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39.75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48.087200000000003</v>
      </c>
      <c r="E4" s="13">
        <f>42.9+22.1</f>
        <v>65</v>
      </c>
      <c r="F4" s="13">
        <f>$F$13/$D$13*D4</f>
        <v>58.761948414376327</v>
      </c>
      <c r="G4" s="10">
        <f>F4/$F$2/10*1000</f>
        <v>1.7107822410147993</v>
      </c>
      <c r="I4" s="3">
        <v>1.4</v>
      </c>
      <c r="J4" s="17">
        <f>I4*$F$2*12/1000</f>
        <v>57.704639999999998</v>
      </c>
    </row>
    <row r="5" spans="1:12" ht="15.75" customHeight="1" x14ac:dyDescent="0.25">
      <c r="A5" s="12"/>
      <c r="B5" s="7" t="s">
        <v>45</v>
      </c>
      <c r="C5" s="5" t="s">
        <v>4</v>
      </c>
      <c r="D5" s="13"/>
      <c r="E5" s="13"/>
      <c r="F5" s="13">
        <v>12.3</v>
      </c>
      <c r="G5" s="10">
        <f t="shared" ref="G5:G12" si="0">F5/$F$2/10*1000</f>
        <v>0.35809945266099918</v>
      </c>
      <c r="J5" s="17">
        <f t="shared" ref="J5:J6" si="1">I5*$F$2*12/1000</f>
        <v>0</v>
      </c>
    </row>
    <row r="6" spans="1:12" ht="42.75" customHeight="1" x14ac:dyDescent="0.25">
      <c r="A6" s="35" t="s">
        <v>5</v>
      </c>
      <c r="B6" s="7" t="s">
        <v>98</v>
      </c>
      <c r="C6" s="11" t="s">
        <v>4</v>
      </c>
      <c r="D6" s="27">
        <f>I6*$F$2*10/1000+34.7</f>
        <v>128.12656000000001</v>
      </c>
      <c r="E6" s="27"/>
      <c r="F6" s="27">
        <f>$F$13/$D$13*D6</f>
        <v>156.56903103594084</v>
      </c>
      <c r="G6" s="10">
        <f t="shared" si="0"/>
        <v>4.5583157981815772</v>
      </c>
      <c r="I6" s="3">
        <v>2.72</v>
      </c>
      <c r="J6" s="17">
        <f t="shared" si="1"/>
        <v>112.11187200000001</v>
      </c>
    </row>
    <row r="7" spans="1:12" ht="30" customHeight="1" x14ac:dyDescent="0.25">
      <c r="A7" s="12"/>
      <c r="B7" s="9" t="s">
        <v>28</v>
      </c>
      <c r="C7" s="5" t="s">
        <v>4</v>
      </c>
      <c r="D7" s="8">
        <v>4.8</v>
      </c>
      <c r="E7" s="8">
        <v>4.8</v>
      </c>
      <c r="F7" s="8">
        <v>4.8</v>
      </c>
      <c r="G7" s="10">
        <f t="shared" si="0"/>
        <v>0.13974612786770699</v>
      </c>
      <c r="J7" s="17">
        <f>I7*$F$2*12/1000</f>
        <v>0</v>
      </c>
    </row>
    <row r="8" spans="1:12" ht="32.25" customHeight="1" x14ac:dyDescent="0.25">
      <c r="A8" s="42"/>
      <c r="B8" s="9" t="s">
        <v>27</v>
      </c>
      <c r="C8" s="5" t="s">
        <v>4</v>
      </c>
      <c r="D8" s="4">
        <v>4.8</v>
      </c>
      <c r="E8" s="4">
        <v>4.8</v>
      </c>
      <c r="F8" s="4">
        <v>4.8</v>
      </c>
      <c r="G8" s="10">
        <f t="shared" si="0"/>
        <v>0.13974612786770699</v>
      </c>
      <c r="I8" s="3">
        <v>0.27</v>
      </c>
      <c r="J8" s="17">
        <f t="shared" ref="J8" si="2">I8*$F$2*12/1000</f>
        <v>11.128752</v>
      </c>
    </row>
    <row r="9" spans="1:12" ht="25.5" x14ac:dyDescent="0.25">
      <c r="A9" s="12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0.19797368114591821</v>
      </c>
      <c r="J9" s="17">
        <f t="shared" ref="J9:J12" si="3">I9*$F$2*12/1000</f>
        <v>0</v>
      </c>
    </row>
    <row r="10" spans="1:12" ht="25.5" x14ac:dyDescent="0.25">
      <c r="A10" s="12" t="s">
        <v>5</v>
      </c>
      <c r="B10" s="7" t="s">
        <v>31</v>
      </c>
      <c r="C10" s="11" t="s">
        <v>4</v>
      </c>
      <c r="D10" s="27">
        <f>I10*$F$2*10/1000</f>
        <v>214.33152000000001</v>
      </c>
      <c r="E10" s="13">
        <v>91.4</v>
      </c>
      <c r="F10" s="27">
        <f>$F$13/$D$13*D10</f>
        <v>261.91039864693448</v>
      </c>
      <c r="G10" s="10">
        <f t="shared" si="0"/>
        <v>7.6252008456659617</v>
      </c>
      <c r="I10" s="3">
        <v>6.24</v>
      </c>
      <c r="J10" s="17">
        <f t="shared" si="3"/>
        <v>257.19782400000003</v>
      </c>
    </row>
    <row r="11" spans="1:12" x14ac:dyDescent="0.25">
      <c r="A11" s="12"/>
      <c r="B11" s="4" t="s">
        <v>9</v>
      </c>
      <c r="C11" s="5" t="s">
        <v>4</v>
      </c>
      <c r="D11" s="4">
        <v>3.5</v>
      </c>
      <c r="E11" s="4">
        <v>3.5</v>
      </c>
      <c r="F11" s="4">
        <v>3.5</v>
      </c>
      <c r="G11" s="10">
        <f t="shared" si="0"/>
        <v>0.10189821823686969</v>
      </c>
      <c r="J11" s="17"/>
    </row>
    <row r="12" spans="1:12" x14ac:dyDescent="0.25">
      <c r="A12" s="12" t="s">
        <v>6</v>
      </c>
      <c r="B12" s="7" t="s">
        <v>10</v>
      </c>
      <c r="C12" s="11" t="s">
        <v>4</v>
      </c>
      <c r="D12" s="27">
        <f>I12*$F$2*10/1000</f>
        <v>82.435200000000009</v>
      </c>
      <c r="E12" s="12">
        <v>37.9</v>
      </c>
      <c r="F12" s="27">
        <f>$F$13/$D$13*D12</f>
        <v>100.73476871035942</v>
      </c>
      <c r="G12" s="10">
        <f t="shared" si="0"/>
        <v>2.9327695560253702</v>
      </c>
      <c r="I12" s="3">
        <v>2.4</v>
      </c>
      <c r="J12" s="17">
        <f t="shared" si="3"/>
        <v>98.922240000000002</v>
      </c>
    </row>
    <row r="13" spans="1:12" x14ac:dyDescent="0.25">
      <c r="A13" s="14"/>
      <c r="B13" s="14" t="s">
        <v>13</v>
      </c>
      <c r="C13" s="15" t="s">
        <v>4</v>
      </c>
      <c r="D13" s="16">
        <v>473</v>
      </c>
      <c r="E13" s="16">
        <f>SUM(E4:E12)</f>
        <v>214.20000000000002</v>
      </c>
      <c r="F13" s="16">
        <v>578</v>
      </c>
      <c r="G13" s="37">
        <f>G12+G10+G6+G4</f>
        <v>16.827068440887707</v>
      </c>
      <c r="I13" s="3">
        <f>SUM(I4:I12)</f>
        <v>13.030000000000001</v>
      </c>
      <c r="J13" s="18">
        <f>SUM(J4:J12)</f>
        <v>537.06532800000002</v>
      </c>
      <c r="K13" s="18">
        <f>D12+D10+D6+D4</f>
        <v>472.98048</v>
      </c>
      <c r="L13" s="18">
        <f>F12+F10+F6+F4</f>
        <v>577.97614680761103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D13/$F$2*1000/12</f>
        <v>11.475680291914133</v>
      </c>
      <c r="E14" s="10">
        <f t="shared" ref="E14:F14" si="4">E13/$F$2*1000/12</f>
        <v>5.1968091300803545</v>
      </c>
      <c r="F14" s="10">
        <f t="shared" si="4"/>
        <v>14.023135747835875</v>
      </c>
      <c r="G14" s="10"/>
      <c r="J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F2*I15/1000*10</f>
        <v>113.3484</v>
      </c>
      <c r="E15" s="8">
        <v>49.8</v>
      </c>
      <c r="F15" s="27">
        <f>D15</f>
        <v>113.3484</v>
      </c>
      <c r="G15" s="10">
        <f>F15/$F$2/10*1000</f>
        <v>3.2999999999999994</v>
      </c>
      <c r="I15" s="3">
        <v>3.3</v>
      </c>
      <c r="J15" s="18">
        <f>I15*F2/1000*12</f>
        <v>136.01808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586.34839999999997</v>
      </c>
      <c r="E16" s="8">
        <f t="shared" ref="E16:G16" si="5">E15+E13</f>
        <v>264</v>
      </c>
      <c r="F16" s="8">
        <f t="shared" si="5"/>
        <v>691.34839999999997</v>
      </c>
      <c r="G16" s="10">
        <f t="shared" si="5"/>
        <v>20.127068440887708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12.99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2">
        <v>14.94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586.34839999999997</v>
      </c>
    </row>
    <row r="37" spans="1:6" x14ac:dyDescent="0.25">
      <c r="B37" s="29" t="s">
        <v>75</v>
      </c>
      <c r="C37" s="34">
        <v>557.79999999999995</v>
      </c>
    </row>
    <row r="38" spans="1:6" x14ac:dyDescent="0.25">
      <c r="B38" s="29" t="s">
        <v>76</v>
      </c>
      <c r="C38" s="32">
        <f>F16</f>
        <v>691.34839999999997</v>
      </c>
    </row>
    <row r="39" spans="1:6" ht="25.5" x14ac:dyDescent="0.25">
      <c r="B39" s="30" t="s">
        <v>79</v>
      </c>
      <c r="C39" s="32">
        <f>C36-C38</f>
        <v>-105</v>
      </c>
    </row>
    <row r="40" spans="1:6" x14ac:dyDescent="0.25">
      <c r="B40" s="33" t="s">
        <v>109</v>
      </c>
      <c r="C40" s="34">
        <f>445.9-2.3</f>
        <v>443.59999999999997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34:F34"/>
    <mergeCell ref="D29:F29"/>
    <mergeCell ref="B30:F30"/>
    <mergeCell ref="D31:F31"/>
    <mergeCell ref="D32:F32"/>
    <mergeCell ref="B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0"/>
  <sheetViews>
    <sheetView workbookViewId="0">
      <selection activeCell="G16" sqref="G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46</v>
      </c>
      <c r="B2" s="54"/>
      <c r="F2" s="21">
        <v>1847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41.25" customHeight="1" x14ac:dyDescent="0.25">
      <c r="A4" s="35" t="s">
        <v>3</v>
      </c>
      <c r="B4" s="7" t="s">
        <v>97</v>
      </c>
      <c r="C4" s="11" t="s">
        <v>4</v>
      </c>
      <c r="D4" s="13">
        <f>H4*$F$2*10/1000+10</f>
        <v>35.857999999999997</v>
      </c>
      <c r="E4" s="13">
        <f>42.9+22.1</f>
        <v>65</v>
      </c>
      <c r="F4" s="13">
        <f>$F$13/$D$13*D4</f>
        <v>62.03223483365948</v>
      </c>
      <c r="G4" s="10">
        <f>F4/$F$2/10*1000</f>
        <v>3.3585400559642382</v>
      </c>
      <c r="H4" s="3">
        <v>1.4</v>
      </c>
      <c r="I4" s="17">
        <f>H4*$F$2*12/1000</f>
        <v>31.029599999999999</v>
      </c>
    </row>
    <row r="5" spans="1:12" ht="15.75" customHeight="1" x14ac:dyDescent="0.25">
      <c r="A5" s="12"/>
      <c r="B5" s="7" t="s">
        <v>110</v>
      </c>
      <c r="C5" s="5" t="s">
        <v>4</v>
      </c>
      <c r="D5" s="13"/>
      <c r="E5" s="13"/>
      <c r="F5" s="13">
        <f>31.8*1.18</f>
        <v>37.524000000000001</v>
      </c>
      <c r="G5" s="10">
        <f t="shared" ref="G5:G12" si="0">F5/$F$2/10*1000</f>
        <v>2.0316188413643745</v>
      </c>
      <c r="I5" s="17"/>
    </row>
    <row r="6" spans="1:12" ht="41.25" customHeight="1" x14ac:dyDescent="0.25">
      <c r="A6" s="35" t="s">
        <v>5</v>
      </c>
      <c r="B6" s="7" t="s">
        <v>98</v>
      </c>
      <c r="C6" s="11" t="s">
        <v>4</v>
      </c>
      <c r="D6" s="27">
        <f>H6*$F$2*10/1000+9.8</f>
        <v>60.038399999999996</v>
      </c>
      <c r="E6" s="27"/>
      <c r="F6" s="27">
        <f>$F$13/$D$13*D6</f>
        <v>103.86290724070449</v>
      </c>
      <c r="G6" s="10">
        <f t="shared" si="0"/>
        <v>5.6233301159017053</v>
      </c>
      <c r="H6" s="3">
        <v>2.72</v>
      </c>
      <c r="I6" s="17"/>
    </row>
    <row r="7" spans="1:12" ht="30" customHeight="1" x14ac:dyDescent="0.25">
      <c r="A7" s="12"/>
      <c r="B7" s="9" t="s">
        <v>28</v>
      </c>
      <c r="C7" s="5" t="s">
        <v>4</v>
      </c>
      <c r="D7" s="8">
        <v>2.6</v>
      </c>
      <c r="E7" s="8">
        <v>2.6</v>
      </c>
      <c r="F7" s="8">
        <v>2.6</v>
      </c>
      <c r="G7" s="10">
        <f t="shared" si="0"/>
        <v>0.14076881429344884</v>
      </c>
      <c r="I7" s="17"/>
    </row>
    <row r="8" spans="1:12" ht="32.25" customHeight="1" x14ac:dyDescent="0.25">
      <c r="A8" s="12"/>
      <c r="B8" s="9" t="s">
        <v>27</v>
      </c>
      <c r="C8" s="5" t="s">
        <v>4</v>
      </c>
      <c r="D8" s="4">
        <v>3.2</v>
      </c>
      <c r="E8" s="4">
        <v>3.2</v>
      </c>
      <c r="F8" s="4">
        <v>3.2</v>
      </c>
      <c r="G8" s="10">
        <f t="shared" si="0"/>
        <v>0.17325392528424474</v>
      </c>
      <c r="H8" s="3">
        <v>0.28999999999999998</v>
      </c>
      <c r="I8" s="17"/>
    </row>
    <row r="9" spans="1:12" ht="25.5" x14ac:dyDescent="0.25">
      <c r="A9" s="12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0.36816459122902007</v>
      </c>
      <c r="I9" s="17">
        <f t="shared" ref="I9:I12" si="1">H9*$F$2*12/1000</f>
        <v>0</v>
      </c>
    </row>
    <row r="10" spans="1:12" ht="25.5" x14ac:dyDescent="0.25">
      <c r="A10" s="12" t="s">
        <v>5</v>
      </c>
      <c r="B10" s="7" t="s">
        <v>31</v>
      </c>
      <c r="C10" s="11" t="s">
        <v>4</v>
      </c>
      <c r="D10" s="13">
        <f>H10*F2*10/1000</f>
        <v>115.25280000000001</v>
      </c>
      <c r="E10" s="13">
        <v>91.4</v>
      </c>
      <c r="F10" s="27">
        <f>$F$13/$D$13*D10</f>
        <v>199.38057769080234</v>
      </c>
      <c r="G10" s="10">
        <f t="shared" si="0"/>
        <v>10.794833659491193</v>
      </c>
      <c r="H10" s="3">
        <v>6.24</v>
      </c>
      <c r="I10" s="17">
        <f t="shared" si="1"/>
        <v>138.30336000000003</v>
      </c>
    </row>
    <row r="11" spans="1:12" x14ac:dyDescent="0.25">
      <c r="A11" s="12"/>
      <c r="B11" s="4" t="s">
        <v>9</v>
      </c>
      <c r="C11" s="5" t="s">
        <v>4</v>
      </c>
      <c r="D11" s="8">
        <v>5.0999999999999996</v>
      </c>
      <c r="E11" s="8">
        <v>5.0999999999999996</v>
      </c>
      <c r="F11" s="8">
        <v>5.0999999999999996</v>
      </c>
      <c r="G11" s="10">
        <f t="shared" si="0"/>
        <v>0.27612344342176498</v>
      </c>
      <c r="I11" s="17"/>
    </row>
    <row r="12" spans="1:12" x14ac:dyDescent="0.25">
      <c r="A12" s="12" t="s">
        <v>6</v>
      </c>
      <c r="B12" s="7" t="s">
        <v>10</v>
      </c>
      <c r="C12" s="11" t="s">
        <v>4</v>
      </c>
      <c r="D12" s="13">
        <f>H12*F2*10/1000</f>
        <v>44.328000000000003</v>
      </c>
      <c r="E12" s="12">
        <v>37.9</v>
      </c>
      <c r="F12" s="27">
        <f>$F$13/$D$13*D12</f>
        <v>76.684837573385522</v>
      </c>
      <c r="G12" s="10">
        <f t="shared" si="0"/>
        <v>4.1518590998043052</v>
      </c>
      <c r="H12" s="3">
        <v>2.4</v>
      </c>
      <c r="I12" s="17">
        <f t="shared" si="1"/>
        <v>53.193600000000004</v>
      </c>
    </row>
    <row r="13" spans="1:12" x14ac:dyDescent="0.25">
      <c r="A13" s="14"/>
      <c r="B13" s="14" t="s">
        <v>13</v>
      </c>
      <c r="C13" s="15" t="s">
        <v>4</v>
      </c>
      <c r="D13" s="16">
        <v>255.5</v>
      </c>
      <c r="E13" s="16">
        <f>SUM(E4:E12)</f>
        <v>212</v>
      </c>
      <c r="F13" s="16">
        <v>442</v>
      </c>
      <c r="G13" s="37">
        <f>G12+G10+G6+G4</f>
        <v>23.928562931161441</v>
      </c>
      <c r="H13" s="3">
        <f>SUM(H4:H12)</f>
        <v>13.05</v>
      </c>
      <c r="I13" s="18">
        <f>SUM(I4:I12)</f>
        <v>222.52656000000002</v>
      </c>
      <c r="K13" s="18">
        <f>D4+D6+D10+D12</f>
        <v>255.47720000000001</v>
      </c>
      <c r="L13" s="18">
        <f>F12+F10+F6+F4</f>
        <v>441.96055733855184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13.833243096913913</v>
      </c>
      <c r="E14" s="10">
        <f t="shared" ref="E14:F14" si="2">E13/$F$2*1000/10</f>
        <v>11.478072550081212</v>
      </c>
      <c r="F14" s="10">
        <f t="shared" si="2"/>
        <v>23.930698429886302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60.950999999999993</v>
      </c>
      <c r="E15" s="8">
        <v>49.8</v>
      </c>
      <c r="F15" s="27">
        <f>D15</f>
        <v>60.950999999999993</v>
      </c>
      <c r="G15" s="10">
        <f>F15/$F$2/10*1000</f>
        <v>3.2999999999999994</v>
      </c>
      <c r="H15" s="3">
        <v>3.3</v>
      </c>
      <c r="I15" s="18">
        <f>H15*F2/1000*12</f>
        <v>73.141199999999998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316.45100000000002</v>
      </c>
      <c r="E16" s="8">
        <f t="shared" ref="E16:I16" si="3">E15+E13</f>
        <v>261.8</v>
      </c>
      <c r="F16" s="8">
        <f t="shared" si="3"/>
        <v>502.95100000000002</v>
      </c>
      <c r="G16" s="10">
        <f t="shared" si="3"/>
        <v>27.228562931161441</v>
      </c>
      <c r="H16" s="8">
        <f t="shared" si="3"/>
        <v>16.350000000000001</v>
      </c>
      <c r="I16" s="8">
        <f t="shared" si="3"/>
        <v>295.66776000000004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12.99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2">
        <v>15.01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316.45100000000002</v>
      </c>
    </row>
    <row r="37" spans="1:6" x14ac:dyDescent="0.25">
      <c r="B37" s="29" t="s">
        <v>75</v>
      </c>
      <c r="C37" s="34">
        <v>511.4</v>
      </c>
    </row>
    <row r="38" spans="1:6" x14ac:dyDescent="0.25">
      <c r="B38" s="29" t="s">
        <v>76</v>
      </c>
      <c r="C38" s="32">
        <f>F16</f>
        <v>502.95100000000002</v>
      </c>
    </row>
    <row r="39" spans="1:6" ht="25.5" x14ac:dyDescent="0.25">
      <c r="B39" s="30" t="s">
        <v>83</v>
      </c>
      <c r="C39" s="32">
        <f>C36-C38</f>
        <v>-186.5</v>
      </c>
    </row>
    <row r="40" spans="1:6" x14ac:dyDescent="0.25">
      <c r="B40" s="33" t="s">
        <v>109</v>
      </c>
      <c r="C40" s="34">
        <f>243.4-40.8</f>
        <v>202.60000000000002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9"/>
  <sheetViews>
    <sheetView tabSelected="1" workbookViewId="0">
      <selection activeCell="B35" sqref="B35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8554687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5" t="s">
        <v>48</v>
      </c>
      <c r="B2" s="55"/>
      <c r="F2" s="3">
        <v>1987.18</v>
      </c>
    </row>
    <row r="3" spans="1:13" ht="25.5" x14ac:dyDescent="0.25">
      <c r="A3" s="42" t="s">
        <v>0</v>
      </c>
      <c r="B3" s="42" t="s">
        <v>1</v>
      </c>
      <c r="C3" s="11" t="s">
        <v>2</v>
      </c>
      <c r="D3" s="42" t="s">
        <v>25</v>
      </c>
      <c r="E3" s="42" t="s">
        <v>11</v>
      </c>
      <c r="F3" s="42" t="s">
        <v>26</v>
      </c>
      <c r="G3" s="11" t="s">
        <v>103</v>
      </c>
    </row>
    <row r="4" spans="1:13" ht="55.5" customHeight="1" x14ac:dyDescent="0.25">
      <c r="A4" s="35" t="s">
        <v>3</v>
      </c>
      <c r="B4" s="7" t="s">
        <v>97</v>
      </c>
      <c r="C4" s="11" t="s">
        <v>4</v>
      </c>
      <c r="D4" s="13">
        <f>I4*$F$2*10/1000+10</f>
        <v>37.820520000000002</v>
      </c>
      <c r="E4" s="13">
        <f>42.9+22.1</f>
        <v>65</v>
      </c>
      <c r="F4" s="13">
        <f>$F$12/$D$12*D4</f>
        <v>52.080716065573775</v>
      </c>
      <c r="G4" s="10">
        <f>F4/$F$2/10*1000</f>
        <v>2.6208353579229748</v>
      </c>
      <c r="H4" s="3">
        <f>D4/$F$2*1000/12</f>
        <v>1.5860213971557686</v>
      </c>
      <c r="I4" s="3">
        <v>1.4</v>
      </c>
      <c r="J4" s="17">
        <f>I4*$F$2*12/1000</f>
        <v>33.384624000000002</v>
      </c>
    </row>
    <row r="5" spans="1:13" ht="44.25" customHeight="1" x14ac:dyDescent="0.25">
      <c r="A5" s="35" t="s">
        <v>5</v>
      </c>
      <c r="B5" s="7" t="s">
        <v>98</v>
      </c>
      <c r="C5" s="11" t="s">
        <v>4</v>
      </c>
      <c r="D5" s="27">
        <f>I5*$F$2*10/1000+10.9</f>
        <v>64.951295999999999</v>
      </c>
      <c r="E5" s="13"/>
      <c r="F5" s="27">
        <f>$F$12/$D$12*D5</f>
        <v>89.441128918032788</v>
      </c>
      <c r="G5" s="10">
        <f t="shared" ref="G5:G11" si="0">F5/$F$2/10*1000</f>
        <v>4.5009072614475176</v>
      </c>
      <c r="I5" s="3">
        <v>2.72</v>
      </c>
      <c r="J5" s="17"/>
    </row>
    <row r="6" spans="1:13" ht="30" customHeight="1" x14ac:dyDescent="0.25">
      <c r="A6" s="12"/>
      <c r="B6" s="9" t="s">
        <v>28</v>
      </c>
      <c r="C6" s="5" t="s">
        <v>4</v>
      </c>
      <c r="D6" s="8">
        <v>4.5999999999999996</v>
      </c>
      <c r="E6" s="8">
        <v>4.5999999999999996</v>
      </c>
      <c r="F6" s="8">
        <v>4.5999999999999996</v>
      </c>
      <c r="G6" s="10">
        <f t="shared" si="0"/>
        <v>0.23148381122998415</v>
      </c>
      <c r="J6" s="17"/>
    </row>
    <row r="7" spans="1:13" ht="32.25" customHeight="1" x14ac:dyDescent="0.25">
      <c r="A7" s="42"/>
      <c r="B7" s="9" t="s">
        <v>27</v>
      </c>
      <c r="C7" s="5" t="s">
        <v>4</v>
      </c>
      <c r="D7" s="4">
        <v>3.2</v>
      </c>
      <c r="E7" s="4">
        <v>3.2</v>
      </c>
      <c r="F7" s="4">
        <v>3.2</v>
      </c>
      <c r="G7" s="10">
        <f t="shared" si="0"/>
        <v>0.1610322165078151</v>
      </c>
      <c r="H7" s="3">
        <v>0.28999999999999998</v>
      </c>
      <c r="I7" s="17"/>
    </row>
    <row r="8" spans="1:13" ht="25.5" x14ac:dyDescent="0.25">
      <c r="A8" s="12"/>
      <c r="B8" s="9" t="s">
        <v>118</v>
      </c>
      <c r="C8" s="5" t="s">
        <v>4</v>
      </c>
      <c r="D8" s="4">
        <v>6.8</v>
      </c>
      <c r="E8" s="4">
        <v>6.8</v>
      </c>
      <c r="F8" s="4">
        <v>6.8</v>
      </c>
      <c r="G8" s="10">
        <f t="shared" si="0"/>
        <v>0.34219346007910706</v>
      </c>
      <c r="J8" s="17">
        <f t="shared" ref="J8:J11" si="1">I8*$F$2*12/1000</f>
        <v>0</v>
      </c>
    </row>
    <row r="9" spans="1:13" ht="25.5" x14ac:dyDescent="0.25">
      <c r="A9" s="12" t="s">
        <v>5</v>
      </c>
      <c r="B9" s="7" t="s">
        <v>31</v>
      </c>
      <c r="C9" s="11" t="s">
        <v>4</v>
      </c>
      <c r="D9" s="27">
        <f>I9*$F$2*10/1000</f>
        <v>124.000032</v>
      </c>
      <c r="E9" s="13">
        <v>91.4</v>
      </c>
      <c r="F9" s="27">
        <f>$F$12/$D$12*D9</f>
        <v>170.75414242622952</v>
      </c>
      <c r="G9" s="10">
        <f t="shared" si="0"/>
        <v>8.5927868852459017</v>
      </c>
      <c r="I9" s="3">
        <v>6.24</v>
      </c>
      <c r="J9" s="17">
        <f t="shared" si="1"/>
        <v>148.80003840000001</v>
      </c>
    </row>
    <row r="10" spans="1:13" x14ac:dyDescent="0.25">
      <c r="A10" s="12"/>
      <c r="B10" s="4" t="s">
        <v>9</v>
      </c>
      <c r="C10" s="5" t="s">
        <v>4</v>
      </c>
      <c r="D10" s="8">
        <v>5.5</v>
      </c>
      <c r="E10" s="8">
        <v>5.5</v>
      </c>
      <c r="F10" s="8">
        <v>5.5</v>
      </c>
      <c r="G10" s="10">
        <f t="shared" si="0"/>
        <v>0.27677412212280716</v>
      </c>
      <c r="J10" s="17"/>
    </row>
    <row r="11" spans="1:13" x14ac:dyDescent="0.25">
      <c r="A11" s="12" t="s">
        <v>6</v>
      </c>
      <c r="B11" s="7" t="s">
        <v>10</v>
      </c>
      <c r="C11" s="11" t="s">
        <v>4</v>
      </c>
      <c r="D11" s="27">
        <f>I11*$F$2*10/1000</f>
        <v>47.692320000000002</v>
      </c>
      <c r="E11" s="12">
        <v>37.9</v>
      </c>
      <c r="F11" s="27">
        <f>$F$12/$D$12*D11</f>
        <v>65.674670163934422</v>
      </c>
      <c r="G11" s="10">
        <f t="shared" si="0"/>
        <v>3.3049180327868846</v>
      </c>
      <c r="I11" s="3">
        <v>2.4</v>
      </c>
      <c r="J11" s="17">
        <f t="shared" si="1"/>
        <v>57.230784</v>
      </c>
    </row>
    <row r="12" spans="1:13" x14ac:dyDescent="0.25">
      <c r="A12" s="14"/>
      <c r="B12" s="14" t="s">
        <v>13</v>
      </c>
      <c r="C12" s="15" t="s">
        <v>4</v>
      </c>
      <c r="D12" s="16">
        <v>274.5</v>
      </c>
      <c r="E12" s="16">
        <f>SUM(E4:E11)</f>
        <v>214.4</v>
      </c>
      <c r="F12" s="16">
        <v>378</v>
      </c>
      <c r="G12" s="37">
        <f>G11+G9+G5+G4</f>
        <v>19.019447537403277</v>
      </c>
      <c r="I12" s="3">
        <f>SUM(I4:I11)</f>
        <v>12.76</v>
      </c>
      <c r="J12" s="18">
        <f>SUM(J4:J11)</f>
        <v>239.41544640000001</v>
      </c>
      <c r="L12" s="18">
        <f>D4+D5+D9+D11</f>
        <v>274.46416800000003</v>
      </c>
      <c r="M12" s="18">
        <f>F4+F5+F9+F11</f>
        <v>377.95065757377051</v>
      </c>
    </row>
    <row r="13" spans="1:13" ht="19.5" customHeight="1" x14ac:dyDescent="0.25">
      <c r="A13" s="4"/>
      <c r="B13" s="9" t="s">
        <v>12</v>
      </c>
      <c r="C13" s="5" t="s">
        <v>23</v>
      </c>
      <c r="D13" s="10">
        <f>D12/$F$2*1000/10</f>
        <v>13.813544822311012</v>
      </c>
      <c r="E13" s="10">
        <f t="shared" ref="E13:F13" si="2">E12/$F$2*1000/10</f>
        <v>10.789158506023611</v>
      </c>
      <c r="F13" s="10">
        <f t="shared" si="2"/>
        <v>19.021930574985657</v>
      </c>
      <c r="G13" s="10"/>
      <c r="J13" s="18"/>
    </row>
    <row r="14" spans="1:13" ht="18.75" customHeight="1" x14ac:dyDescent="0.25">
      <c r="A14" s="4"/>
      <c r="B14" s="9" t="s">
        <v>24</v>
      </c>
      <c r="C14" s="5" t="s">
        <v>23</v>
      </c>
      <c r="D14" s="8">
        <f>F2*I14/1000*10</f>
        <v>65.576939999999993</v>
      </c>
      <c r="E14" s="8">
        <v>49.8</v>
      </c>
      <c r="F14" s="27">
        <f>D14</f>
        <v>65.576939999999993</v>
      </c>
      <c r="G14" s="10">
        <f>F14/$F$2/10*1000</f>
        <v>3.2999999999999994</v>
      </c>
      <c r="I14" s="3">
        <v>3.3</v>
      </c>
      <c r="J14" s="18">
        <f>I14*F2/1000*12</f>
        <v>78.692328000000003</v>
      </c>
    </row>
    <row r="15" spans="1:13" x14ac:dyDescent="0.25">
      <c r="A15" s="42"/>
      <c r="B15" s="42" t="s">
        <v>14</v>
      </c>
      <c r="C15" s="11" t="s">
        <v>4</v>
      </c>
      <c r="D15" s="27">
        <f>D14+D12</f>
        <v>340.07693999999998</v>
      </c>
      <c r="E15" s="27">
        <f t="shared" ref="E15:G15" si="3">E14+E12</f>
        <v>264.2</v>
      </c>
      <c r="F15" s="27">
        <f t="shared" si="3"/>
        <v>443.57693999999998</v>
      </c>
      <c r="G15" s="43">
        <f t="shared" si="3"/>
        <v>22.319447537403278</v>
      </c>
    </row>
    <row r="16" spans="1:13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13.03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2">
        <v>14.99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340.07693999999998</v>
      </c>
    </row>
    <row r="36" spans="1:6" x14ac:dyDescent="0.25">
      <c r="B36" s="29" t="s">
        <v>75</v>
      </c>
      <c r="C36" s="34">
        <v>323.2</v>
      </c>
    </row>
    <row r="37" spans="1:6" x14ac:dyDescent="0.25">
      <c r="B37" s="29" t="s">
        <v>76</v>
      </c>
      <c r="C37" s="32">
        <f>F15</f>
        <v>443.57693999999998</v>
      </c>
    </row>
    <row r="38" spans="1:6" ht="25.5" x14ac:dyDescent="0.25">
      <c r="B38" s="30" t="s">
        <v>84</v>
      </c>
      <c r="C38" s="32">
        <f>C35-C37</f>
        <v>-103.5</v>
      </c>
    </row>
    <row r="39" spans="1:6" x14ac:dyDescent="0.25">
      <c r="B39" s="33" t="s">
        <v>109</v>
      </c>
      <c r="C39" s="34">
        <f>442.6-15</f>
        <v>427.6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51181102362204722" right="0" top="0.74803149606299213" bottom="0.7480314960629921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0"/>
  <sheetViews>
    <sheetView workbookViewId="0">
      <selection activeCell="G13" sqref="G13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8554687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51</v>
      </c>
      <c r="B2" s="54"/>
      <c r="F2" s="1">
        <v>4977.29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1.25" customHeight="1" x14ac:dyDescent="0.25">
      <c r="A4" s="35" t="s">
        <v>3</v>
      </c>
      <c r="B4" s="7" t="s">
        <v>97</v>
      </c>
      <c r="C4" s="11" t="s">
        <v>4</v>
      </c>
      <c r="D4" s="13">
        <f>I4*$F$2*12/1000</f>
        <v>83.618471999999997</v>
      </c>
      <c r="E4" s="13">
        <f>42.9+22.1</f>
        <v>65</v>
      </c>
      <c r="F4" s="13">
        <f>$F$13/$D$13*D4</f>
        <v>96.473434752562213</v>
      </c>
      <c r="G4" s="10">
        <f>F4/$F$2/10*1000</f>
        <v>1.9382723279648608</v>
      </c>
      <c r="H4" s="3">
        <f>D4/$F$2*1000/12</f>
        <v>1.4000000000000001</v>
      </c>
      <c r="I4" s="3">
        <v>1.4</v>
      </c>
      <c r="J4" s="17">
        <f>I4*$F$2*12/1000</f>
        <v>83.618471999999997</v>
      </c>
    </row>
    <row r="5" spans="1:13" ht="42" customHeight="1" x14ac:dyDescent="0.25">
      <c r="A5" s="35" t="s">
        <v>5</v>
      </c>
      <c r="B5" s="7" t="s">
        <v>98</v>
      </c>
      <c r="C5" s="11" t="s">
        <v>4</v>
      </c>
      <c r="D5" s="27">
        <f>I5*$F$2*12/1000-D6</f>
        <v>156.55874560000001</v>
      </c>
      <c r="E5" s="13"/>
      <c r="F5" s="27">
        <f t="shared" ref="F5:F12" si="0">$F$13/$D$13*D5</f>
        <v>180.62707398653001</v>
      </c>
      <c r="G5" s="10">
        <f t="shared" ref="G5:G12" si="1">F5/$F$2/10*1000</f>
        <v>3.6290245090507085</v>
      </c>
      <c r="I5" s="3">
        <v>2.72</v>
      </c>
      <c r="J5" s="17">
        <f t="shared" ref="J5:J7" si="2">I5*$F$2*12/1000</f>
        <v>162.45874560000001</v>
      </c>
    </row>
    <row r="6" spans="1:13" ht="30" customHeight="1" x14ac:dyDescent="0.25">
      <c r="A6" s="12"/>
      <c r="B6" s="9" t="s">
        <v>28</v>
      </c>
      <c r="C6" s="5" t="s">
        <v>4</v>
      </c>
      <c r="D6" s="8">
        <v>5.9</v>
      </c>
      <c r="E6" s="8">
        <v>5.9</v>
      </c>
      <c r="F6" s="8">
        <v>5.9</v>
      </c>
      <c r="G6" s="10">
        <f t="shared" si="1"/>
        <v>0.11853840141924621</v>
      </c>
      <c r="J6" s="17">
        <f t="shared" si="2"/>
        <v>0</v>
      </c>
    </row>
    <row r="7" spans="1:13" ht="32.25" customHeight="1" x14ac:dyDescent="0.25">
      <c r="A7" s="12"/>
      <c r="B7" s="9" t="s">
        <v>27</v>
      </c>
      <c r="C7" s="5" t="s">
        <v>4</v>
      </c>
      <c r="D7" s="8">
        <v>9.6999999999999993</v>
      </c>
      <c r="E7" s="8">
        <v>9.6999999999999993</v>
      </c>
      <c r="F7" s="8">
        <v>9.6999999999999993</v>
      </c>
      <c r="G7" s="10">
        <f t="shared" si="1"/>
        <v>0.1948851684350319</v>
      </c>
      <c r="I7" s="3">
        <v>0.19</v>
      </c>
      <c r="J7" s="17">
        <f t="shared" si="2"/>
        <v>11.348221199999999</v>
      </c>
    </row>
    <row r="8" spans="1:13" ht="25.5" x14ac:dyDescent="0.25">
      <c r="A8" s="12"/>
      <c r="B8" s="9" t="s">
        <v>8</v>
      </c>
      <c r="C8" s="5" t="s">
        <v>4</v>
      </c>
      <c r="D8" s="8">
        <v>22.9</v>
      </c>
      <c r="E8" s="8">
        <v>22.9</v>
      </c>
      <c r="F8" s="8">
        <v>22.9</v>
      </c>
      <c r="G8" s="10">
        <f t="shared" si="1"/>
        <v>0.46008972754249805</v>
      </c>
      <c r="I8" s="3">
        <v>0.6</v>
      </c>
      <c r="J8" s="17">
        <f t="shared" ref="J8:J12" si="3">I8*$F$2*12/1000</f>
        <v>35.836487999999996</v>
      </c>
    </row>
    <row r="9" spans="1:13" ht="31.5" hidden="1" customHeight="1" x14ac:dyDescent="0.25">
      <c r="A9" s="12"/>
      <c r="B9" s="9" t="s">
        <v>7</v>
      </c>
      <c r="C9" s="5" t="s">
        <v>4</v>
      </c>
      <c r="D9" s="27">
        <f t="shared" ref="D9" si="4">I9*$F$2*12/1000</f>
        <v>0</v>
      </c>
      <c r="E9" s="8"/>
      <c r="F9" s="27">
        <f t="shared" si="0"/>
        <v>0</v>
      </c>
      <c r="G9" s="10">
        <f t="shared" si="1"/>
        <v>0</v>
      </c>
      <c r="J9" s="17">
        <f t="shared" si="3"/>
        <v>0</v>
      </c>
    </row>
    <row r="10" spans="1:13" ht="25.5" x14ac:dyDescent="0.25">
      <c r="A10" s="12" t="s">
        <v>5</v>
      </c>
      <c r="B10" s="7" t="s">
        <v>31</v>
      </c>
      <c r="C10" s="11" t="s">
        <v>4</v>
      </c>
      <c r="D10" s="27">
        <f>I10*$F$2*12/1000-D11-12.3</f>
        <v>319.16298720000003</v>
      </c>
      <c r="E10" s="13">
        <v>91.4</v>
      </c>
      <c r="F10" s="27">
        <f t="shared" si="0"/>
        <v>368.22903940497804</v>
      </c>
      <c r="G10" s="10">
        <f t="shared" si="1"/>
        <v>7.3981833368153769</v>
      </c>
      <c r="I10" s="3">
        <f>6.24-0.6</f>
        <v>5.6400000000000006</v>
      </c>
      <c r="J10" s="17">
        <f t="shared" si="3"/>
        <v>336.86298720000002</v>
      </c>
    </row>
    <row r="11" spans="1:13" x14ac:dyDescent="0.25">
      <c r="A11" s="12"/>
      <c r="B11" s="4" t="s">
        <v>9</v>
      </c>
      <c r="C11" s="5" t="s">
        <v>4</v>
      </c>
      <c r="D11" s="8">
        <v>5.4</v>
      </c>
      <c r="E11" s="8">
        <v>5.4</v>
      </c>
      <c r="F11" s="8">
        <v>5.4</v>
      </c>
      <c r="G11" s="10">
        <f t="shared" si="1"/>
        <v>0.10849277418032706</v>
      </c>
      <c r="J11" s="17"/>
    </row>
    <row r="12" spans="1:13" x14ac:dyDescent="0.25">
      <c r="A12" s="12" t="s">
        <v>6</v>
      </c>
      <c r="B12" s="7" t="s">
        <v>10</v>
      </c>
      <c r="C12" s="11" t="s">
        <v>4</v>
      </c>
      <c r="D12" s="27">
        <f>I12*$F$2*12/1000</f>
        <v>143.34595199999998</v>
      </c>
      <c r="E12" s="12">
        <v>37.9</v>
      </c>
      <c r="F12" s="27">
        <f t="shared" si="0"/>
        <v>165.38303100439236</v>
      </c>
      <c r="G12" s="10">
        <f t="shared" si="1"/>
        <v>3.3227525622254754</v>
      </c>
      <c r="I12" s="3">
        <v>2.4</v>
      </c>
      <c r="J12" s="17">
        <f t="shared" si="3"/>
        <v>143.34595199999998</v>
      </c>
    </row>
    <row r="13" spans="1:13" x14ac:dyDescent="0.25">
      <c r="A13" s="14"/>
      <c r="B13" s="14" t="s">
        <v>13</v>
      </c>
      <c r="C13" s="15" t="s">
        <v>4</v>
      </c>
      <c r="D13" s="16">
        <v>683</v>
      </c>
      <c r="E13" s="16">
        <f t="shared" ref="E13" si="5">SUM(E4:E12)</f>
        <v>238.20000000000002</v>
      </c>
      <c r="F13" s="16">
        <v>788</v>
      </c>
      <c r="G13" s="37">
        <f>G4+G5+G10+G12</f>
        <v>16.288232736056422</v>
      </c>
      <c r="I13" s="3">
        <f>SUM(I4:I12)</f>
        <v>12.950000000000001</v>
      </c>
      <c r="J13" s="18">
        <f>SUM(J4:J12)</f>
        <v>773.470866</v>
      </c>
      <c r="L13" s="18">
        <f>D12+D10+D5+D4</f>
        <v>702.68615680000005</v>
      </c>
      <c r="M13" s="18">
        <f>F12+F10+F5+F4</f>
        <v>810.71257914846262</v>
      </c>
    </row>
    <row r="14" spans="1:13" ht="19.5" customHeight="1" x14ac:dyDescent="0.25">
      <c r="A14" s="4"/>
      <c r="B14" s="9" t="s">
        <v>12</v>
      </c>
      <c r="C14" s="5" t="s">
        <v>23</v>
      </c>
      <c r="D14" s="10">
        <f>D13/$F$2*1000/10</f>
        <v>13.722326808363587</v>
      </c>
      <c r="E14" s="10">
        <f t="shared" ref="E14:F14" si="6">E13/$F$2*1000/10</f>
        <v>4.7857368166210934</v>
      </c>
      <c r="F14" s="10">
        <f t="shared" si="6"/>
        <v>15.831908528536616</v>
      </c>
      <c r="G14" s="10"/>
      <c r="J14" s="18"/>
    </row>
    <row r="15" spans="1:13" ht="18.75" customHeight="1" x14ac:dyDescent="0.25">
      <c r="A15" s="4"/>
      <c r="B15" s="9" t="s">
        <v>24</v>
      </c>
      <c r="C15" s="5" t="s">
        <v>23</v>
      </c>
      <c r="D15" s="8">
        <f>F2*I15/1000*10</f>
        <v>164.25057000000004</v>
      </c>
      <c r="E15" s="8">
        <v>49.8</v>
      </c>
      <c r="F15" s="8">
        <f>D15</f>
        <v>164.25057000000004</v>
      </c>
      <c r="G15" s="10">
        <f>F15/$F$2/10*1000</f>
        <v>3.3000000000000007</v>
      </c>
      <c r="I15" s="3">
        <v>3.3</v>
      </c>
      <c r="J15" s="18">
        <f>I15*F2/1000*12</f>
        <v>197.10068400000003</v>
      </c>
    </row>
    <row r="16" spans="1:13" x14ac:dyDescent="0.25">
      <c r="A16" s="4"/>
      <c r="B16" s="4" t="s">
        <v>14</v>
      </c>
      <c r="C16" s="5" t="s">
        <v>4</v>
      </c>
      <c r="D16" s="8">
        <f>D15+D13</f>
        <v>847.25057000000004</v>
      </c>
      <c r="E16" s="4">
        <f t="shared" ref="E16" si="7">E15+E13</f>
        <v>288</v>
      </c>
      <c r="F16" s="8">
        <v>1105.9000000000001</v>
      </c>
      <c r="G16" s="10">
        <f>G15+G13</f>
        <v>19.588232736056423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12.96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14.89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847.25057000000004</v>
      </c>
    </row>
    <row r="37" spans="1:6" x14ac:dyDescent="0.25">
      <c r="B37" s="29" t="s">
        <v>75</v>
      </c>
      <c r="C37" s="34">
        <v>804.1</v>
      </c>
    </row>
    <row r="38" spans="1:6" x14ac:dyDescent="0.25">
      <c r="B38" s="29" t="s">
        <v>76</v>
      </c>
      <c r="C38" s="32">
        <f>F16</f>
        <v>1105.9000000000001</v>
      </c>
    </row>
    <row r="39" spans="1:6" ht="25.5" x14ac:dyDescent="0.25">
      <c r="B39" s="30" t="s">
        <v>80</v>
      </c>
      <c r="C39" s="32">
        <f>C36-C38</f>
        <v>-258.64943000000005</v>
      </c>
    </row>
    <row r="40" spans="1:6" x14ac:dyDescent="0.25">
      <c r="B40" s="33" t="s">
        <v>109</v>
      </c>
      <c r="C40" s="32">
        <f>168-5</f>
        <v>163</v>
      </c>
    </row>
  </sheetData>
  <mergeCells count="20">
    <mergeCell ref="B30:F30"/>
    <mergeCell ref="D31:F31"/>
    <mergeCell ref="D32:F32"/>
    <mergeCell ref="B33:F33"/>
    <mergeCell ref="D34:F34"/>
    <mergeCell ref="D25:F25"/>
    <mergeCell ref="D26:F26"/>
    <mergeCell ref="B27:F27"/>
    <mergeCell ref="D28:F28"/>
    <mergeCell ref="D29:F29"/>
    <mergeCell ref="B20:F20"/>
    <mergeCell ref="D21:F21"/>
    <mergeCell ref="D22:F22"/>
    <mergeCell ref="B23:F23"/>
    <mergeCell ref="D24:F24"/>
    <mergeCell ref="A2:B2"/>
    <mergeCell ref="B17:F17"/>
    <mergeCell ref="D18:F18"/>
    <mergeCell ref="D19:F19"/>
    <mergeCell ref="A1:G1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0"/>
  <sheetViews>
    <sheetView workbookViewId="0">
      <selection activeCell="G16" sqref="G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710937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49</v>
      </c>
      <c r="B2" s="54"/>
      <c r="F2" s="1">
        <v>2767.83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0.5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38.749619999999993</v>
      </c>
      <c r="E4" s="13">
        <f>42.9+22.1</f>
        <v>65</v>
      </c>
      <c r="F4" s="13">
        <v>87.5</v>
      </c>
      <c r="G4" s="10">
        <f>F4/$F$2/10*1000</f>
        <v>3.1613213239252413</v>
      </c>
      <c r="H4" s="3">
        <f>D4/$F$2*1000/12</f>
        <v>1.1666666666666665</v>
      </c>
      <c r="I4" s="3">
        <v>1.4</v>
      </c>
      <c r="J4" s="17">
        <f>I4*$F$2*12/1000</f>
        <v>46.499543999999993</v>
      </c>
    </row>
    <row r="5" spans="1:13" ht="15.75" customHeight="1" x14ac:dyDescent="0.25">
      <c r="A5" s="12"/>
      <c r="B5" s="7" t="s">
        <v>110</v>
      </c>
      <c r="C5" s="5" t="s">
        <v>4</v>
      </c>
      <c r="D5" s="13"/>
      <c r="E5" s="13"/>
      <c r="F5" s="13">
        <v>87.5</v>
      </c>
      <c r="G5" s="10">
        <f t="shared" ref="G5:G12" si="0">F5/$F$2/10*1000</f>
        <v>3.1613213239252413</v>
      </c>
      <c r="J5" s="17"/>
    </row>
    <row r="6" spans="1:13" ht="42" customHeight="1" x14ac:dyDescent="0.25">
      <c r="A6" s="35" t="s">
        <v>5</v>
      </c>
      <c r="B6" s="7" t="s">
        <v>98</v>
      </c>
      <c r="C6" s="11" t="s">
        <v>4</v>
      </c>
      <c r="D6" s="27">
        <f>I6*$F$2*10/1000-D7</f>
        <v>68.484976000000017</v>
      </c>
      <c r="E6" s="27"/>
      <c r="F6" s="27">
        <f>$F$13/$D$13*D6+15.2</f>
        <v>169.40927354482761</v>
      </c>
      <c r="G6" s="10">
        <f t="shared" si="0"/>
        <v>6.1206531306051168</v>
      </c>
      <c r="I6" s="3">
        <v>2.72</v>
      </c>
      <c r="J6" s="17"/>
    </row>
    <row r="7" spans="1:13" ht="30" customHeight="1" x14ac:dyDescent="0.25">
      <c r="A7" s="12"/>
      <c r="B7" s="9" t="s">
        <v>28</v>
      </c>
      <c r="C7" s="5" t="s">
        <v>4</v>
      </c>
      <c r="D7" s="8">
        <v>6.8</v>
      </c>
      <c r="E7" s="8">
        <v>6.8</v>
      </c>
      <c r="F7" s="8">
        <v>6.8</v>
      </c>
      <c r="G7" s="10">
        <f t="shared" si="0"/>
        <v>0.24567982860219018</v>
      </c>
      <c r="J7" s="17"/>
    </row>
    <row r="8" spans="1:13" ht="32.25" customHeight="1" x14ac:dyDescent="0.25">
      <c r="A8" s="12"/>
      <c r="B8" s="9" t="s">
        <v>27</v>
      </c>
      <c r="C8" s="5" t="s">
        <v>4</v>
      </c>
      <c r="D8" s="8">
        <v>5.7</v>
      </c>
      <c r="E8" s="8">
        <v>5.7</v>
      </c>
      <c r="F8" s="8">
        <v>5.7</v>
      </c>
      <c r="G8" s="10">
        <f t="shared" si="0"/>
        <v>0.20593750338712999</v>
      </c>
      <c r="I8" s="3">
        <v>0.19</v>
      </c>
      <c r="J8" s="17"/>
    </row>
    <row r="9" spans="1:13" ht="25.5" x14ac:dyDescent="0.25">
      <c r="A9" s="12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0.24567982860219018</v>
      </c>
      <c r="J9" s="17">
        <f t="shared" ref="J9:J12" si="1">I9*$F$2*12/1000</f>
        <v>0</v>
      </c>
    </row>
    <row r="10" spans="1:13" ht="25.5" x14ac:dyDescent="0.25">
      <c r="A10" s="35" t="s">
        <v>6</v>
      </c>
      <c r="B10" s="7" t="s">
        <v>31</v>
      </c>
      <c r="C10" s="11" t="s">
        <v>4</v>
      </c>
      <c r="D10" s="27">
        <f>I10*$F$2*10/1000-D11</f>
        <v>165.11259200000001</v>
      </c>
      <c r="E10" s="13">
        <v>91.4</v>
      </c>
      <c r="F10" s="27">
        <f>$F$13/$D$13*D10-80</f>
        <v>291.78800888275862</v>
      </c>
      <c r="G10" s="10">
        <f t="shared" si="0"/>
        <v>10.542121766248599</v>
      </c>
      <c r="I10" s="3">
        <v>6.24</v>
      </c>
      <c r="J10" s="17">
        <f t="shared" si="1"/>
        <v>207.25511040000001</v>
      </c>
    </row>
    <row r="11" spans="1:13" x14ac:dyDescent="0.25">
      <c r="A11" s="12"/>
      <c r="B11" s="4" t="s">
        <v>9</v>
      </c>
      <c r="C11" s="5" t="s">
        <v>4</v>
      </c>
      <c r="D11" s="8">
        <v>7.6</v>
      </c>
      <c r="E11" s="8">
        <v>7.6</v>
      </c>
      <c r="F11" s="8">
        <v>7.6</v>
      </c>
      <c r="G11" s="10">
        <f t="shared" si="0"/>
        <v>0.27458333784950661</v>
      </c>
      <c r="J11" s="17"/>
    </row>
    <row r="12" spans="1:13" x14ac:dyDescent="0.25">
      <c r="A12" s="35" t="s">
        <v>99</v>
      </c>
      <c r="B12" s="7" t="s">
        <v>10</v>
      </c>
      <c r="C12" s="11" t="s">
        <v>4</v>
      </c>
      <c r="D12" s="27">
        <f>I12*$F$2*10/1000</f>
        <v>66.42792</v>
      </c>
      <c r="E12" s="12">
        <v>37.9</v>
      </c>
      <c r="F12" s="27">
        <f>$F$13/$D$13*D12-30</f>
        <v>119.57735089655174</v>
      </c>
      <c r="G12" s="10">
        <f t="shared" si="0"/>
        <v>4.3202563342601152</v>
      </c>
      <c r="I12" s="3">
        <v>2.4</v>
      </c>
      <c r="J12" s="17">
        <f t="shared" si="1"/>
        <v>79.713503999999986</v>
      </c>
    </row>
    <row r="13" spans="1:13" x14ac:dyDescent="0.25">
      <c r="A13" s="14"/>
      <c r="B13" s="14" t="s">
        <v>13</v>
      </c>
      <c r="C13" s="15" t="s">
        <v>4</v>
      </c>
      <c r="D13" s="16">
        <v>290</v>
      </c>
      <c r="E13" s="16">
        <f t="shared" ref="E13" si="2">SUM(E4:E12)</f>
        <v>221.2</v>
      </c>
      <c r="F13" s="16">
        <v>653</v>
      </c>
      <c r="G13" s="37">
        <f>G4+G6+G10+G12</f>
        <v>24.14435255503907</v>
      </c>
      <c r="I13" s="3">
        <f>SUM(I4:I12)</f>
        <v>12.950000000000001</v>
      </c>
      <c r="J13" s="18">
        <f>SUM(J4:J12)</f>
        <v>333.46815839999999</v>
      </c>
      <c r="L13" s="18">
        <f>D12+D10+D6+D4</f>
        <v>338.77510799999999</v>
      </c>
      <c r="M13" s="18">
        <f>F6+F4+F10+F12</f>
        <v>668.27463332413799</v>
      </c>
    </row>
    <row r="14" spans="1:13" ht="19.5" customHeight="1" x14ac:dyDescent="0.25">
      <c r="A14" s="4"/>
      <c r="B14" s="9" t="s">
        <v>12</v>
      </c>
      <c r="C14" s="5" t="s">
        <v>23</v>
      </c>
      <c r="D14" s="10">
        <f>D13/$F$2*1000/10</f>
        <v>10.477522102152227</v>
      </c>
      <c r="E14" s="10">
        <f t="shared" ref="E14" si="3">E13/$F$2*1000/12</f>
        <v>6.6598502557358401</v>
      </c>
      <c r="F14" s="10">
        <f>F13/$F$2*1000/10</f>
        <v>23.592489423122082</v>
      </c>
      <c r="G14" s="10"/>
      <c r="J14" s="18"/>
    </row>
    <row r="15" spans="1:13" ht="18.75" customHeight="1" x14ac:dyDescent="0.25">
      <c r="A15" s="4"/>
      <c r="B15" s="9" t="s">
        <v>24</v>
      </c>
      <c r="C15" s="5" t="s">
        <v>23</v>
      </c>
      <c r="D15" s="8">
        <f>F2*I15/1000*10</f>
        <v>91.338390000000004</v>
      </c>
      <c r="E15" s="8">
        <v>49.8</v>
      </c>
      <c r="F15" s="27">
        <f>D15</f>
        <v>91.338390000000004</v>
      </c>
      <c r="G15" s="10">
        <f>F15/$F$2/10*1000</f>
        <v>3.3</v>
      </c>
      <c r="I15" s="3">
        <v>3.3</v>
      </c>
      <c r="J15" s="18">
        <f>I15*F2/1000*12</f>
        <v>109.60606799999999</v>
      </c>
    </row>
    <row r="16" spans="1:13" x14ac:dyDescent="0.25">
      <c r="A16" s="4"/>
      <c r="B16" s="4" t="s">
        <v>14</v>
      </c>
      <c r="C16" s="5" t="s">
        <v>4</v>
      </c>
      <c r="D16" s="8">
        <f>D15+D13</f>
        <v>381.33839</v>
      </c>
      <c r="E16" s="4">
        <f t="shared" ref="E16" si="4">E15+E13</f>
        <v>271</v>
      </c>
      <c r="F16" s="8">
        <v>727.6</v>
      </c>
      <c r="G16" s="10">
        <f>G15+G13</f>
        <v>27.444352555039071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12.95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14.89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381.33839</v>
      </c>
    </row>
    <row r="37" spans="1:6" x14ac:dyDescent="0.25">
      <c r="B37" s="29" t="s">
        <v>75</v>
      </c>
      <c r="C37" s="34">
        <v>467.2</v>
      </c>
    </row>
    <row r="38" spans="1:6" x14ac:dyDescent="0.25">
      <c r="B38" s="29" t="s">
        <v>76</v>
      </c>
      <c r="C38" s="32">
        <f>F16</f>
        <v>727.6</v>
      </c>
    </row>
    <row r="39" spans="1:6" ht="25.5" x14ac:dyDescent="0.25">
      <c r="B39" s="30" t="s">
        <v>85</v>
      </c>
      <c r="C39" s="32">
        <f>C36-C38</f>
        <v>-346.26161000000002</v>
      </c>
    </row>
    <row r="40" spans="1:6" x14ac:dyDescent="0.25">
      <c r="B40" s="33" t="s">
        <v>109</v>
      </c>
      <c r="C40" s="34">
        <v>429.2</v>
      </c>
    </row>
  </sheetData>
  <mergeCells count="20">
    <mergeCell ref="B30:F30"/>
    <mergeCell ref="D31:F31"/>
    <mergeCell ref="D32:F32"/>
    <mergeCell ref="B33:F33"/>
    <mergeCell ref="D34:F34"/>
    <mergeCell ref="D25:F25"/>
    <mergeCell ref="D26:F26"/>
    <mergeCell ref="B27:F27"/>
    <mergeCell ref="D28:F28"/>
    <mergeCell ref="D29:F29"/>
    <mergeCell ref="B20:F20"/>
    <mergeCell ref="D21:F21"/>
    <mergeCell ref="D22:F22"/>
    <mergeCell ref="B23:F23"/>
    <mergeCell ref="D24:F24"/>
    <mergeCell ref="A2:B2"/>
    <mergeCell ref="B17:F17"/>
    <mergeCell ref="D18:F18"/>
    <mergeCell ref="D19:F19"/>
    <mergeCell ref="A1:G1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40"/>
  <sheetViews>
    <sheetView workbookViewId="0">
      <selection activeCell="P16" sqref="P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5703125" style="3" customWidth="1"/>
    <col min="8" max="9" width="9.140625" style="3" hidden="1" customWidth="1"/>
    <col min="10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52</v>
      </c>
      <c r="B2" s="54"/>
      <c r="F2" s="21">
        <v>3503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42.75" customHeight="1" x14ac:dyDescent="0.25">
      <c r="A4" s="35" t="s">
        <v>3</v>
      </c>
      <c r="B4" s="7" t="s">
        <v>97</v>
      </c>
      <c r="C4" s="11" t="s">
        <v>4</v>
      </c>
      <c r="D4" s="13">
        <f>1.52*F2*10/1000</f>
        <v>53.245600000000003</v>
      </c>
      <c r="E4" s="13">
        <f>42.9+22.1</f>
        <v>65</v>
      </c>
      <c r="F4" s="13">
        <f>$F$13/$D$13*D4</f>
        <v>73.523840001405901</v>
      </c>
      <c r="G4" s="10">
        <f>F4/$F$2/10*1000</f>
        <v>2.0988821010963714</v>
      </c>
      <c r="H4" s="3">
        <v>1.4</v>
      </c>
      <c r="I4" s="17">
        <f>H4*$F$2*12/1000</f>
        <v>58.850399999999993</v>
      </c>
    </row>
    <row r="5" spans="1:12" ht="15.75" customHeight="1" x14ac:dyDescent="0.25">
      <c r="A5" s="12"/>
      <c r="B5" s="7" t="s">
        <v>47</v>
      </c>
      <c r="C5" s="5" t="s">
        <v>4</v>
      </c>
      <c r="D5" s="13"/>
      <c r="E5" s="13"/>
      <c r="F5" s="13">
        <v>39.700000000000003</v>
      </c>
      <c r="G5" s="10">
        <f t="shared" ref="G5:G11" si="0">F5/$F$2/10*1000</f>
        <v>1.1333143020268344</v>
      </c>
      <c r="I5" s="17"/>
    </row>
    <row r="6" spans="1:12" ht="45" customHeight="1" x14ac:dyDescent="0.25">
      <c r="A6" s="35" t="s">
        <v>5</v>
      </c>
      <c r="B6" s="7" t="s">
        <v>98</v>
      </c>
      <c r="C6" s="11" t="s">
        <v>4</v>
      </c>
      <c r="D6" s="27">
        <f>194.8+4.8-47-80+33.4</f>
        <v>106.00000000000003</v>
      </c>
      <c r="E6" s="27"/>
      <c r="F6" s="27">
        <f>$F$13/$D$13*D6</f>
        <v>146.3694096817207</v>
      </c>
      <c r="G6" s="10">
        <f t="shared" si="0"/>
        <v>4.1784016466377594</v>
      </c>
      <c r="H6" s="3">
        <v>2.72</v>
      </c>
      <c r="I6" s="17"/>
    </row>
    <row r="7" spans="1:12" ht="30" customHeight="1" x14ac:dyDescent="0.25">
      <c r="A7" s="12"/>
      <c r="B7" s="9" t="s">
        <v>28</v>
      </c>
      <c r="C7" s="5" t="s">
        <v>4</v>
      </c>
      <c r="D7" s="8">
        <v>1.8</v>
      </c>
      <c r="E7" s="8">
        <v>1.8</v>
      </c>
      <c r="F7" s="8">
        <v>1.8</v>
      </c>
      <c r="G7" s="10">
        <f t="shared" si="0"/>
        <v>5.138452754781616E-2</v>
      </c>
      <c r="I7" s="17"/>
    </row>
    <row r="8" spans="1:12" ht="32.25" customHeight="1" x14ac:dyDescent="0.25">
      <c r="A8" s="12"/>
      <c r="B8" s="9" t="s">
        <v>27</v>
      </c>
      <c r="C8" s="5" t="s">
        <v>4</v>
      </c>
      <c r="D8" s="8">
        <v>8.4</v>
      </c>
      <c r="E8" s="8">
        <v>8.4</v>
      </c>
      <c r="F8" s="8">
        <v>8.4</v>
      </c>
      <c r="G8" s="10">
        <f t="shared" si="0"/>
        <v>0.23979446188980877</v>
      </c>
      <c r="H8" s="3">
        <v>0.23</v>
      </c>
      <c r="I8" s="17"/>
    </row>
    <row r="9" spans="1:12" ht="25.5" x14ac:dyDescent="0.25">
      <c r="A9" s="12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0.19411932629174994</v>
      </c>
      <c r="I9" s="17">
        <f t="shared" ref="I9:I12" si="1">H9*$F$2*12/1000</f>
        <v>0</v>
      </c>
    </row>
    <row r="10" spans="1:12" ht="25.5" x14ac:dyDescent="0.25">
      <c r="A10" s="35" t="s">
        <v>6</v>
      </c>
      <c r="B10" s="7" t="s">
        <v>31</v>
      </c>
      <c r="C10" s="11" t="s">
        <v>4</v>
      </c>
      <c r="D10" s="27">
        <f>118.6+80</f>
        <v>198.6</v>
      </c>
      <c r="E10" s="13">
        <v>91.4</v>
      </c>
      <c r="F10" s="27">
        <f>$F$13/$D$13*D10</f>
        <v>274.23551663009169</v>
      </c>
      <c r="G10" s="10">
        <f t="shared" si="0"/>
        <v>7.8285902549269686</v>
      </c>
      <c r="H10" s="3">
        <v>5.34</v>
      </c>
      <c r="I10" s="17">
        <f t="shared" si="1"/>
        <v>224.47224</v>
      </c>
    </row>
    <row r="11" spans="1:12" x14ac:dyDescent="0.25">
      <c r="A11" s="12"/>
      <c r="B11" s="4" t="s">
        <v>9</v>
      </c>
      <c r="C11" s="5" t="s">
        <v>4</v>
      </c>
      <c r="D11" s="8">
        <f>3.85*1.18</f>
        <v>4.5430000000000001</v>
      </c>
      <c r="E11" s="4">
        <v>3.3</v>
      </c>
      <c r="F11" s="27">
        <f>$F$13/$D$13*D11</f>
        <v>6.2731719640005368</v>
      </c>
      <c r="G11" s="10">
        <f t="shared" si="0"/>
        <v>0.17907998755354088</v>
      </c>
      <c r="I11" s="17"/>
    </row>
    <row r="12" spans="1:12" x14ac:dyDescent="0.25">
      <c r="A12" s="35" t="s">
        <v>99</v>
      </c>
      <c r="B12" s="7" t="s">
        <v>10</v>
      </c>
      <c r="C12" s="11" t="s">
        <v>4</v>
      </c>
      <c r="D12" s="27">
        <f>G12*F2*10/1000</f>
        <v>97.383399999999995</v>
      </c>
      <c r="E12" s="12">
        <v>37.9</v>
      </c>
      <c r="F12" s="27">
        <f>$F$13/$D$13*D12</f>
        <v>134.47123368678183</v>
      </c>
      <c r="G12" s="10">
        <v>2.78</v>
      </c>
      <c r="H12" s="3">
        <v>2.4</v>
      </c>
      <c r="I12" s="17">
        <f t="shared" si="1"/>
        <v>100.88639999999999</v>
      </c>
    </row>
    <row r="13" spans="1:12" x14ac:dyDescent="0.25">
      <c r="A13" s="14"/>
      <c r="B13" s="14" t="s">
        <v>13</v>
      </c>
      <c r="C13" s="15" t="s">
        <v>4</v>
      </c>
      <c r="D13" s="16">
        <f>D12+D10+D6+D4</f>
        <v>455.22899999999998</v>
      </c>
      <c r="E13" s="16">
        <f t="shared" ref="E13" si="2">SUM(E4:E12)</f>
        <v>214.60000000000002</v>
      </c>
      <c r="F13" s="16">
        <v>628.6</v>
      </c>
      <c r="G13" s="37">
        <f>G4+G6+G10+G12</f>
        <v>16.885874002661101</v>
      </c>
      <c r="H13" s="3">
        <f>SUM(H4:H12)</f>
        <v>12.090000000000002</v>
      </c>
      <c r="I13" s="18">
        <f>SUM(I4:I12)</f>
        <v>384.20903999999996</v>
      </c>
      <c r="L13" s="18"/>
    </row>
    <row r="14" spans="1:12" ht="16.5" customHeight="1" x14ac:dyDescent="0.25">
      <c r="A14" s="4"/>
      <c r="B14" s="9" t="s">
        <v>12</v>
      </c>
      <c r="C14" s="5" t="s">
        <v>23</v>
      </c>
      <c r="D14" s="10">
        <f>D13/$F$2*1000/10</f>
        <v>12.995403939480445</v>
      </c>
      <c r="E14" s="10">
        <f t="shared" ref="E14" si="3">E13/$F$2*1000/12</f>
        <v>5.1051479684080316</v>
      </c>
      <c r="F14" s="10">
        <f>F13/$F$2*1000/10</f>
        <v>17.944618898087356</v>
      </c>
      <c r="G14" s="10"/>
      <c r="I14" s="18"/>
    </row>
    <row r="15" spans="1:12" ht="15" customHeight="1" x14ac:dyDescent="0.25">
      <c r="A15" s="4"/>
      <c r="B15" s="9" t="s">
        <v>24</v>
      </c>
      <c r="C15" s="5" t="s">
        <v>23</v>
      </c>
      <c r="D15" s="8">
        <v>115.6</v>
      </c>
      <c r="E15" s="8">
        <v>115.6</v>
      </c>
      <c r="F15" s="8">
        <v>115.6</v>
      </c>
      <c r="G15" s="10">
        <f>F15/$F$2/10*1000</f>
        <v>3.3000285469597483</v>
      </c>
      <c r="H15" s="3">
        <v>3.3</v>
      </c>
      <c r="I15" s="18">
        <f>H15*F2/1000*12</f>
        <v>138.71879999999999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570.82899999999995</v>
      </c>
      <c r="E16" s="8">
        <f t="shared" ref="E16:I16" si="4">E15+E13</f>
        <v>330.20000000000005</v>
      </c>
      <c r="F16" s="8">
        <f t="shared" si="4"/>
        <v>744.2</v>
      </c>
      <c r="G16" s="10">
        <f t="shared" si="4"/>
        <v>20.185902549620849</v>
      </c>
      <c r="H16" s="8">
        <f t="shared" si="4"/>
        <v>15.39</v>
      </c>
      <c r="I16" s="8">
        <f t="shared" si="4"/>
        <v>522.92783999999995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12.09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13.9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570.82899999999995</v>
      </c>
    </row>
    <row r="37" spans="1:6" x14ac:dyDescent="0.25">
      <c r="B37" s="29" t="s">
        <v>75</v>
      </c>
      <c r="C37" s="34">
        <v>530.70000000000005</v>
      </c>
    </row>
    <row r="38" spans="1:6" x14ac:dyDescent="0.25">
      <c r="B38" s="29" t="s">
        <v>76</v>
      </c>
      <c r="C38" s="32">
        <f>F16</f>
        <v>744.2</v>
      </c>
    </row>
    <row r="39" spans="1:6" ht="25.5" x14ac:dyDescent="0.25">
      <c r="B39" s="30" t="s">
        <v>86</v>
      </c>
      <c r="C39" s="32">
        <f>C36-C38</f>
        <v>-173.37100000000009</v>
      </c>
    </row>
    <row r="40" spans="1:6" x14ac:dyDescent="0.25">
      <c r="B40" s="33" t="s">
        <v>109</v>
      </c>
      <c r="C40" s="34">
        <f>1070.5-2.4</f>
        <v>1068.0999999999999</v>
      </c>
    </row>
  </sheetData>
  <mergeCells count="20">
    <mergeCell ref="A2:B2"/>
    <mergeCell ref="B17:F17"/>
    <mergeCell ref="D18:F18"/>
    <mergeCell ref="D19:F19"/>
    <mergeCell ref="A1:G1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workbookViewId="0">
      <selection activeCell="Q15" sqref="Q15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1406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33</v>
      </c>
      <c r="B2" s="54"/>
      <c r="F2" s="1">
        <v>1342.77</v>
      </c>
    </row>
    <row r="3" spans="1:12" ht="25.5" x14ac:dyDescent="0.25">
      <c r="A3" s="4" t="s">
        <v>0</v>
      </c>
      <c r="B3" s="4" t="s">
        <v>1</v>
      </c>
      <c r="C3" s="5" t="s">
        <v>2</v>
      </c>
      <c r="D3" s="35" t="s">
        <v>100</v>
      </c>
      <c r="E3" s="4" t="s">
        <v>11</v>
      </c>
      <c r="F3" s="6" t="s">
        <v>26</v>
      </c>
      <c r="G3" s="11" t="s">
        <v>103</v>
      </c>
    </row>
    <row r="4" spans="1:12" ht="43.5" customHeight="1" x14ac:dyDescent="0.25">
      <c r="A4" s="35" t="s">
        <v>3</v>
      </c>
      <c r="B4" s="7" t="s">
        <v>97</v>
      </c>
      <c r="C4" s="11" t="s">
        <v>4</v>
      </c>
      <c r="D4" s="13">
        <f>H4*$F$2*12/1000</f>
        <v>22.558536</v>
      </c>
      <c r="E4" s="13">
        <f>42.9+22.1</f>
        <v>65</v>
      </c>
      <c r="F4" s="13">
        <f>$F$14/$D$14*D4</f>
        <v>36.027145945945946</v>
      </c>
      <c r="G4" s="10">
        <f>F4/$F$2/10*1000</f>
        <v>2.6830466830466833</v>
      </c>
      <c r="H4" s="3">
        <f>1.4</f>
        <v>1.4</v>
      </c>
      <c r="I4" s="18">
        <f>H4*$F$2*12/1000</f>
        <v>22.558536</v>
      </c>
    </row>
    <row r="5" spans="1:12" ht="20.25" customHeight="1" x14ac:dyDescent="0.25">
      <c r="A5" s="42"/>
      <c r="B5" s="7" t="s">
        <v>110</v>
      </c>
      <c r="C5" s="11" t="s">
        <v>4</v>
      </c>
      <c r="D5" s="27"/>
      <c r="E5" s="27"/>
      <c r="F5" s="27">
        <v>21.7</v>
      </c>
      <c r="G5" s="10">
        <f t="shared" ref="G5:G13" si="0">F5/$F$2/10*1000</f>
        <v>1.6160623189377183</v>
      </c>
      <c r="I5" s="18"/>
    </row>
    <row r="6" spans="1:12" ht="41.25" customHeight="1" x14ac:dyDescent="0.25">
      <c r="A6" s="35" t="s">
        <v>5</v>
      </c>
      <c r="B6" s="7" t="s">
        <v>98</v>
      </c>
      <c r="C6" s="11" t="s">
        <v>4</v>
      </c>
      <c r="D6" s="27">
        <f>H6*$F$2*12/1000</f>
        <v>43.828012800000003</v>
      </c>
      <c r="E6" s="27"/>
      <c r="F6" s="27">
        <f>$F$14/$D$14*D6</f>
        <v>69.995597837837849</v>
      </c>
      <c r="G6" s="10">
        <f t="shared" si="0"/>
        <v>5.2127764127764147</v>
      </c>
      <c r="H6" s="3">
        <v>2.72</v>
      </c>
      <c r="I6" s="18">
        <f>H6*$F$2*12/1000</f>
        <v>43.828012800000003</v>
      </c>
    </row>
    <row r="7" spans="1:12" ht="40.5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0.20852417018551203</v>
      </c>
      <c r="I7" s="18">
        <f t="shared" ref="I7:I13" si="1">H7*$F$2*12/1000</f>
        <v>0</v>
      </c>
    </row>
    <row r="8" spans="1:12" ht="42.75" customHeight="1" x14ac:dyDescent="0.25">
      <c r="A8" s="6"/>
      <c r="B8" s="9" t="s">
        <v>27</v>
      </c>
      <c r="C8" s="5" t="s">
        <v>4</v>
      </c>
      <c r="D8" s="8">
        <v>1.6</v>
      </c>
      <c r="E8" s="8">
        <v>1.6</v>
      </c>
      <c r="F8" s="8">
        <v>1.6</v>
      </c>
      <c r="G8" s="10">
        <f t="shared" si="0"/>
        <v>0.11915666867743546</v>
      </c>
      <c r="H8" s="3">
        <v>0.2</v>
      </c>
      <c r="I8" s="18">
        <f t="shared" si="1"/>
        <v>3.222648</v>
      </c>
    </row>
    <row r="9" spans="1:12" ht="25.5" x14ac:dyDescent="0.25">
      <c r="A9" s="6"/>
      <c r="B9" s="9" t="s">
        <v>8</v>
      </c>
      <c r="C9" s="5" t="s">
        <v>4</v>
      </c>
      <c r="D9" s="4">
        <v>6.8</v>
      </c>
      <c r="E9" s="8"/>
      <c r="F9" s="8">
        <v>6.8</v>
      </c>
      <c r="G9" s="10">
        <f t="shared" si="0"/>
        <v>0.5064158418791006</v>
      </c>
      <c r="I9" s="18">
        <f t="shared" si="1"/>
        <v>0</v>
      </c>
    </row>
    <row r="10" spans="1:12" ht="25.5" x14ac:dyDescent="0.25">
      <c r="A10" s="42"/>
      <c r="B10" s="9" t="s">
        <v>114</v>
      </c>
      <c r="C10" s="5" t="s">
        <v>4</v>
      </c>
      <c r="D10" s="4">
        <v>2.5</v>
      </c>
      <c r="E10" s="4">
        <v>2.5</v>
      </c>
      <c r="F10" s="4">
        <v>2.5</v>
      </c>
      <c r="G10" s="10">
        <f t="shared" si="0"/>
        <v>0.18618229480849291</v>
      </c>
      <c r="I10" s="18"/>
    </row>
    <row r="11" spans="1:12" ht="25.5" x14ac:dyDescent="0.25">
      <c r="A11" s="35" t="s">
        <v>6</v>
      </c>
      <c r="B11" s="7" t="s">
        <v>31</v>
      </c>
      <c r="C11" s="11" t="s">
        <v>4</v>
      </c>
      <c r="D11" s="27">
        <f>H11*$F$2*12/1000-2.1</f>
        <v>98.44661760000001</v>
      </c>
      <c r="E11" s="13">
        <v>91.4</v>
      </c>
      <c r="F11" s="27">
        <f>$F$14/$D$14*D11</f>
        <v>157.22432786240788</v>
      </c>
      <c r="G11" s="10">
        <f t="shared" si="0"/>
        <v>11.708954464458385</v>
      </c>
      <c r="H11" s="3">
        <v>6.24</v>
      </c>
      <c r="I11" s="18">
        <f t="shared" si="1"/>
        <v>100.5466176</v>
      </c>
    </row>
    <row r="12" spans="1:12" x14ac:dyDescent="0.25">
      <c r="A12" s="6"/>
      <c r="B12" s="4" t="s">
        <v>9</v>
      </c>
      <c r="C12" s="5" t="s">
        <v>4</v>
      </c>
      <c r="D12" s="4">
        <v>2.6</v>
      </c>
      <c r="E12" s="4">
        <v>3.3</v>
      </c>
      <c r="F12" s="27">
        <v>2.6</v>
      </c>
      <c r="G12" s="10">
        <f t="shared" si="0"/>
        <v>0.19362958660083263</v>
      </c>
      <c r="I12" s="17">
        <f t="shared" si="1"/>
        <v>0</v>
      </c>
    </row>
    <row r="13" spans="1:12" x14ac:dyDescent="0.25">
      <c r="A13" s="35" t="s">
        <v>99</v>
      </c>
      <c r="B13" s="7" t="s">
        <v>10</v>
      </c>
      <c r="C13" s="11" t="s">
        <v>4</v>
      </c>
      <c r="D13" s="27">
        <f>H13*$F$2*12/1000</f>
        <v>38.671776000000001</v>
      </c>
      <c r="E13" s="6">
        <v>37.9</v>
      </c>
      <c r="F13" s="27">
        <f>$F$14/$D$14*D13</f>
        <v>61.760821621621623</v>
      </c>
      <c r="G13" s="10">
        <f t="shared" si="0"/>
        <v>4.5995085995085994</v>
      </c>
      <c r="H13" s="3">
        <v>2.4</v>
      </c>
      <c r="I13" s="17">
        <f t="shared" si="1"/>
        <v>38.671776000000001</v>
      </c>
    </row>
    <row r="14" spans="1:12" x14ac:dyDescent="0.25">
      <c r="A14" s="14"/>
      <c r="B14" s="14" t="s">
        <v>13</v>
      </c>
      <c r="C14" s="15" t="s">
        <v>4</v>
      </c>
      <c r="D14" s="16">
        <v>203.5</v>
      </c>
      <c r="E14" s="16">
        <f>SUM(E4:E13)</f>
        <v>204.50000000000003</v>
      </c>
      <c r="F14" s="16">
        <v>325</v>
      </c>
      <c r="G14" s="37">
        <f>G4+G6+G11+G13</f>
        <v>24.204286159790083</v>
      </c>
      <c r="H14" s="3">
        <f>SUM(H4:H13)</f>
        <v>12.96</v>
      </c>
      <c r="I14" s="18">
        <f>SUM(I4:I13)</f>
        <v>208.82759039999999</v>
      </c>
      <c r="K14" s="18">
        <f>D4+D6+D11+D13</f>
        <v>203.5049424</v>
      </c>
      <c r="L14" s="18">
        <f>F4+F6+F11+F13</f>
        <v>325.0078932678133</v>
      </c>
    </row>
    <row r="15" spans="1:12" ht="14.25" customHeight="1" x14ac:dyDescent="0.25">
      <c r="A15" s="4"/>
      <c r="B15" s="9" t="s">
        <v>12</v>
      </c>
      <c r="C15" s="5" t="s">
        <v>23</v>
      </c>
      <c r="D15" s="10">
        <f>D14/$F$2*1000/10</f>
        <v>15.155238797411323</v>
      </c>
      <c r="E15" s="10">
        <f t="shared" ref="E15:F15" si="2">E14/$F$2*1000/10</f>
        <v>15.229711715334721</v>
      </c>
      <c r="F15" s="10">
        <f t="shared" si="2"/>
        <v>24.203698325104078</v>
      </c>
      <c r="G15" s="4"/>
      <c r="I15" s="18"/>
    </row>
    <row r="16" spans="1:12" ht="16.5" customHeight="1" x14ac:dyDescent="0.25">
      <c r="A16" s="4"/>
      <c r="B16" s="9" t="s">
        <v>24</v>
      </c>
      <c r="C16" s="5" t="s">
        <v>23</v>
      </c>
      <c r="D16" s="8">
        <f>F2*H16/1000*10</f>
        <v>44.311409999999995</v>
      </c>
      <c r="E16" s="8">
        <f>G2*I16/1000*12</f>
        <v>0</v>
      </c>
      <c r="F16" s="8">
        <f>D16</f>
        <v>44.311409999999995</v>
      </c>
      <c r="G16" s="10">
        <f>F16/$F$2/10*1000</f>
        <v>3.2999999999999994</v>
      </c>
      <c r="H16" s="3">
        <v>3.3</v>
      </c>
      <c r="I16" s="18">
        <f>H16*F2/1000*12</f>
        <v>53.173691999999988</v>
      </c>
    </row>
    <row r="17" spans="1:10" ht="16.5" customHeight="1" x14ac:dyDescent="0.25">
      <c r="A17" s="4"/>
      <c r="B17" s="4" t="s">
        <v>14</v>
      </c>
      <c r="C17" s="5" t="s">
        <v>4</v>
      </c>
      <c r="D17" s="8">
        <f>D16+D14</f>
        <v>247.81141</v>
      </c>
      <c r="E17" s="8">
        <f t="shared" ref="E17:G17" si="3">E16+E14</f>
        <v>204.50000000000003</v>
      </c>
      <c r="F17" s="8">
        <f t="shared" si="3"/>
        <v>369.31141000000002</v>
      </c>
      <c r="G17" s="10">
        <f t="shared" si="3"/>
        <v>27.504286159790084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44">
        <v>12.96</v>
      </c>
      <c r="E33" s="45"/>
      <c r="F33" s="46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247.81141</v>
      </c>
    </row>
    <row r="38" spans="1:6" s="29" customFormat="1" x14ac:dyDescent="0.25">
      <c r="B38" s="29" t="s">
        <v>75</v>
      </c>
      <c r="C38" s="32">
        <v>228.4</v>
      </c>
    </row>
    <row r="39" spans="1:6" s="29" customFormat="1" x14ac:dyDescent="0.25">
      <c r="B39" s="29" t="s">
        <v>76</v>
      </c>
      <c r="C39" s="32">
        <f>F17</f>
        <v>369.31141000000002</v>
      </c>
    </row>
    <row r="40" spans="1:6" ht="25.5" x14ac:dyDescent="0.25">
      <c r="B40" s="41" t="s">
        <v>113</v>
      </c>
      <c r="C40" s="32">
        <f>C37-C39</f>
        <v>-121.50000000000003</v>
      </c>
    </row>
    <row r="41" spans="1:6" x14ac:dyDescent="0.25">
      <c r="B41" s="33" t="s">
        <v>109</v>
      </c>
      <c r="C41" s="34">
        <v>47.6</v>
      </c>
    </row>
  </sheetData>
  <mergeCells count="20">
    <mergeCell ref="D20:F20"/>
    <mergeCell ref="B21:F21"/>
    <mergeCell ref="D32:F32"/>
    <mergeCell ref="D33:F33"/>
    <mergeCell ref="B34:F34"/>
    <mergeCell ref="D35:F35"/>
    <mergeCell ref="A1:G1"/>
    <mergeCell ref="D27:F27"/>
    <mergeCell ref="B28:F28"/>
    <mergeCell ref="D29:F29"/>
    <mergeCell ref="D30:F30"/>
    <mergeCell ref="B31:F31"/>
    <mergeCell ref="D22:F22"/>
    <mergeCell ref="D23:F23"/>
    <mergeCell ref="B24:F24"/>
    <mergeCell ref="D25:F25"/>
    <mergeCell ref="D26:F26"/>
    <mergeCell ref="A2:B2"/>
    <mergeCell ref="B18:F18"/>
    <mergeCell ref="D19:F19"/>
  </mergeCells>
  <pageMargins left="0.70866141732283472" right="0.19685039370078741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9"/>
  <sheetViews>
    <sheetView workbookViewId="0">
      <selection activeCell="Q17" sqref="Q17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53</v>
      </c>
      <c r="B2" s="54"/>
      <c r="F2" s="21">
        <v>1619.44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42" customHeight="1" x14ac:dyDescent="0.25">
      <c r="A4" s="35" t="s">
        <v>3</v>
      </c>
      <c r="B4" s="7" t="s">
        <v>97</v>
      </c>
      <c r="C4" s="11" t="s">
        <v>4</v>
      </c>
      <c r="D4" s="13">
        <v>20.2</v>
      </c>
      <c r="E4" s="13">
        <f>42.9+22.1</f>
        <v>65</v>
      </c>
      <c r="F4" s="13">
        <f>$F$12/$D$12*D4</f>
        <v>32.398062086362032</v>
      </c>
      <c r="G4" s="10">
        <f>F4/$F$2/12*1000</f>
        <v>1.6671432761922862</v>
      </c>
      <c r="H4" s="3">
        <v>1.4</v>
      </c>
      <c r="I4" s="17">
        <f>H4*$F$2*12/1000</f>
        <v>27.206591999999997</v>
      </c>
    </row>
    <row r="5" spans="1:12" ht="41.25" customHeight="1" x14ac:dyDescent="0.25">
      <c r="A5" s="35" t="s">
        <v>5</v>
      </c>
      <c r="B5" s="7" t="s">
        <v>98</v>
      </c>
      <c r="C5" s="11" t="s">
        <v>4</v>
      </c>
      <c r="D5" s="27">
        <f>H5*$F$2*10/1000-D6+D6+D7+D8</f>
        <v>54.54876800000001</v>
      </c>
      <c r="E5" s="13"/>
      <c r="F5" s="27">
        <f t="shared" ref="F5:F11" si="0">$F$12/$D$12*D5</f>
        <v>87.488830316760328</v>
      </c>
      <c r="G5" s="10">
        <f t="shared" ref="G5:G9" si="1">F5/$F$2/12*1000</f>
        <v>4.5020104849392553</v>
      </c>
      <c r="H5" s="3">
        <v>2.72</v>
      </c>
      <c r="I5" s="17">
        <f t="shared" ref="I5" si="2">H5*$F$2*12/1000</f>
        <v>52.85852160000001</v>
      </c>
    </row>
    <row r="6" spans="1:12" ht="30" customHeight="1" x14ac:dyDescent="0.25">
      <c r="A6" s="12"/>
      <c r="B6" s="9" t="s">
        <v>28</v>
      </c>
      <c r="C6" s="5" t="s">
        <v>4</v>
      </c>
      <c r="D6" s="8">
        <v>2.1</v>
      </c>
      <c r="E6" s="8">
        <v>2.1</v>
      </c>
      <c r="F6" s="8">
        <v>2.1</v>
      </c>
      <c r="G6" s="10">
        <v>0.17</v>
      </c>
      <c r="I6" s="17"/>
    </row>
    <row r="7" spans="1:12" ht="32.25" customHeight="1" x14ac:dyDescent="0.25">
      <c r="A7" s="12"/>
      <c r="B7" s="9" t="s">
        <v>27</v>
      </c>
      <c r="C7" s="5" t="s">
        <v>4</v>
      </c>
      <c r="D7" s="8">
        <v>3.7</v>
      </c>
      <c r="E7" s="8">
        <v>3.7</v>
      </c>
      <c r="F7" s="8">
        <v>3.7</v>
      </c>
      <c r="G7" s="10">
        <v>0.16</v>
      </c>
      <c r="H7" s="3">
        <v>0.22</v>
      </c>
      <c r="I7" s="17">
        <f t="shared" ref="I7:I11" si="3">H7*$F$2*12/1000</f>
        <v>4.2753215999999998</v>
      </c>
    </row>
    <row r="8" spans="1:12" ht="25.5" x14ac:dyDescent="0.25">
      <c r="A8" s="12"/>
      <c r="B8" s="9" t="s">
        <v>8</v>
      </c>
      <c r="C8" s="5" t="s">
        <v>4</v>
      </c>
      <c r="D8" s="8">
        <v>6.8</v>
      </c>
      <c r="E8" s="8">
        <v>6.8</v>
      </c>
      <c r="F8" s="8">
        <v>6.8</v>
      </c>
      <c r="G8" s="10">
        <f t="shared" si="1"/>
        <v>0.34991519702283913</v>
      </c>
      <c r="H8" s="3">
        <v>0.22</v>
      </c>
      <c r="I8" s="17">
        <f t="shared" si="3"/>
        <v>4.2753215999999998</v>
      </c>
    </row>
    <row r="9" spans="1:12" ht="25.5" x14ac:dyDescent="0.25">
      <c r="A9" s="12" t="s">
        <v>5</v>
      </c>
      <c r="B9" s="7" t="s">
        <v>31</v>
      </c>
      <c r="C9" s="11" t="s">
        <v>4</v>
      </c>
      <c r="D9" s="27">
        <f>H9*$F$2*12/1000-D10+D10</f>
        <v>112.713024</v>
      </c>
      <c r="E9" s="13">
        <v>91.4</v>
      </c>
      <c r="F9" s="27">
        <f t="shared" si="0"/>
        <v>180.77641334126801</v>
      </c>
      <c r="G9" s="10">
        <f t="shared" si="1"/>
        <v>9.302413866381178</v>
      </c>
      <c r="H9" s="3">
        <v>5.8</v>
      </c>
      <c r="I9" s="17">
        <f t="shared" si="3"/>
        <v>112.713024</v>
      </c>
    </row>
    <row r="10" spans="1:12" x14ac:dyDescent="0.25">
      <c r="A10" s="12"/>
      <c r="B10" s="4" t="s">
        <v>9</v>
      </c>
      <c r="C10" s="5" t="s">
        <v>4</v>
      </c>
      <c r="D10" s="8">
        <v>6.3</v>
      </c>
      <c r="E10" s="8">
        <v>6.3</v>
      </c>
      <c r="F10" s="8">
        <v>6.3</v>
      </c>
      <c r="G10" s="10">
        <v>0.18</v>
      </c>
      <c r="I10" s="17"/>
    </row>
    <row r="11" spans="1:12" x14ac:dyDescent="0.25">
      <c r="A11" s="12" t="s">
        <v>6</v>
      </c>
      <c r="B11" s="7" t="s">
        <v>10</v>
      </c>
      <c r="C11" s="11" t="s">
        <v>4</v>
      </c>
      <c r="D11" s="27">
        <f>H11*$F$2*10/1000</f>
        <v>38.86656</v>
      </c>
      <c r="E11" s="12">
        <v>37.9</v>
      </c>
      <c r="F11" s="27">
        <f t="shared" si="0"/>
        <v>62.336694255609657</v>
      </c>
      <c r="G11" s="10">
        <v>2.78</v>
      </c>
      <c r="H11" s="3">
        <v>2.4</v>
      </c>
      <c r="I11" s="17">
        <f t="shared" si="3"/>
        <v>46.639872000000004</v>
      </c>
    </row>
    <row r="12" spans="1:12" x14ac:dyDescent="0.25">
      <c r="A12" s="14"/>
      <c r="B12" s="14" t="s">
        <v>13</v>
      </c>
      <c r="C12" s="15" t="s">
        <v>4</v>
      </c>
      <c r="D12" s="16">
        <f>D4+D5+D9+D11</f>
        <v>226.328352</v>
      </c>
      <c r="E12" s="16">
        <f>SUM(E4:E11)</f>
        <v>213.20000000000002</v>
      </c>
      <c r="F12" s="16">
        <v>363</v>
      </c>
      <c r="G12" s="37">
        <f>SUM(G4:G11)</f>
        <v>19.11148282453556</v>
      </c>
      <c r="H12" s="3">
        <f>SUM(H4:H11)</f>
        <v>12.76</v>
      </c>
      <c r="I12" s="18">
        <f>SUM(I4:I11)</f>
        <v>247.9686528</v>
      </c>
      <c r="K12" s="18">
        <f>D4+D5+D9+D11</f>
        <v>226.328352</v>
      </c>
      <c r="L12" s="18">
        <f>F4+F5+F9+F11</f>
        <v>363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13.97571703798844</v>
      </c>
      <c r="E13" s="10">
        <f t="shared" ref="E13" si="4">E12/$F$2*1000/12</f>
        <v>10.970870589010191</v>
      </c>
      <c r="F13" s="10">
        <f>F12/$F$2*1000/10</f>
        <v>22.415155856345404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53.441520000000004</v>
      </c>
      <c r="E14" s="8">
        <f>G2*I14/1000*10</f>
        <v>0</v>
      </c>
      <c r="F14" s="8">
        <f>D14</f>
        <v>53.441520000000004</v>
      </c>
      <c r="G14" s="10">
        <f>F14/$F$2/10*1000</f>
        <v>3.3</v>
      </c>
      <c r="H14" s="3">
        <v>3.3</v>
      </c>
      <c r="I14" s="18">
        <f>H14*F2/1000*12</f>
        <v>64.129823999999999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279.76987200000002</v>
      </c>
      <c r="E15" s="8">
        <f t="shared" ref="E15:G15" si="5">E14+E12</f>
        <v>213.20000000000002</v>
      </c>
      <c r="F15" s="8">
        <f t="shared" si="5"/>
        <v>416.44152000000003</v>
      </c>
      <c r="G15" s="10">
        <f t="shared" si="5"/>
        <v>22.411482824535561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12.98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14.93</v>
      </c>
      <c r="E31" s="50"/>
      <c r="F31" s="51"/>
    </row>
    <row r="32" spans="1:10" ht="17.25" customHeight="1" x14ac:dyDescent="0.25">
      <c r="A32" s="4"/>
      <c r="B32" s="47" t="s">
        <v>24</v>
      </c>
      <c r="C32" s="48"/>
      <c r="D32" s="48"/>
      <c r="E32" s="48"/>
      <c r="F32" s="49"/>
    </row>
    <row r="33" spans="1:6" ht="15.75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1">
        <f>D15</f>
        <v>279.76987200000002</v>
      </c>
    </row>
    <row r="36" spans="1:6" x14ac:dyDescent="0.25">
      <c r="B36" s="29" t="s">
        <v>75</v>
      </c>
      <c r="C36" s="2">
        <v>262.8</v>
      </c>
    </row>
    <row r="37" spans="1:6" x14ac:dyDescent="0.25">
      <c r="B37" s="29" t="s">
        <v>76</v>
      </c>
      <c r="C37" s="31">
        <f>F15</f>
        <v>416.44152000000003</v>
      </c>
    </row>
    <row r="38" spans="1:6" ht="25.5" x14ac:dyDescent="0.25">
      <c r="B38" s="30" t="s">
        <v>84</v>
      </c>
      <c r="C38" s="31">
        <f>C35-C37</f>
        <v>-136.671648</v>
      </c>
    </row>
    <row r="39" spans="1:6" x14ac:dyDescent="0.25">
      <c r="B39" s="33" t="s">
        <v>109</v>
      </c>
      <c r="C39" s="2">
        <v>153.4</v>
      </c>
    </row>
  </sheetData>
  <mergeCells count="20">
    <mergeCell ref="B29:F29"/>
    <mergeCell ref="D30:F30"/>
    <mergeCell ref="D31:F31"/>
    <mergeCell ref="B32:F32"/>
    <mergeCell ref="D33:F33"/>
    <mergeCell ref="B26:F26"/>
    <mergeCell ref="D27:F27"/>
    <mergeCell ref="D28:F28"/>
    <mergeCell ref="A2:B2"/>
    <mergeCell ref="A1:G1"/>
    <mergeCell ref="D21:F21"/>
    <mergeCell ref="B22:F22"/>
    <mergeCell ref="D23:F23"/>
    <mergeCell ref="D24:F24"/>
    <mergeCell ref="D25:F25"/>
    <mergeCell ref="B16:F16"/>
    <mergeCell ref="D17:F17"/>
    <mergeCell ref="D18:F18"/>
    <mergeCell ref="B19:F19"/>
    <mergeCell ref="D20:F20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0"/>
  <sheetViews>
    <sheetView workbookViewId="0">
      <selection activeCell="U10" sqref="U10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9" width="9.140625" style="3" hidden="1" customWidth="1"/>
    <col min="10" max="10" width="9.140625" style="3" customWidth="1"/>
    <col min="11" max="12" width="9.140625" style="3" hidden="1" customWidth="1"/>
    <col min="13" max="13" width="0" style="3" hidden="1" customWidth="1"/>
    <col min="14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54</v>
      </c>
      <c r="B2" s="54"/>
      <c r="F2" s="21">
        <v>5275.8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3" ht="43.5" customHeight="1" x14ac:dyDescent="0.25">
      <c r="A4" s="35" t="s">
        <v>3</v>
      </c>
      <c r="B4" s="7" t="s">
        <v>97</v>
      </c>
      <c r="C4" s="11" t="s">
        <v>4</v>
      </c>
      <c r="D4" s="13">
        <f>H4*$F$2/1000*10+25+0.7</f>
        <v>99.561199999999999</v>
      </c>
      <c r="E4" s="13">
        <f>42.9+22.1</f>
        <v>65</v>
      </c>
      <c r="F4" s="13">
        <f>$F$13/$D$13*D4</f>
        <v>131.87772952314774</v>
      </c>
      <c r="G4" s="10">
        <f>F4/$F$2/10*1000</f>
        <v>2.4996726472411335</v>
      </c>
      <c r="H4" s="3">
        <v>1.4</v>
      </c>
      <c r="I4" s="18">
        <f>H4*$F$2*12/1000</f>
        <v>88.633440000000007</v>
      </c>
    </row>
    <row r="5" spans="1:13" ht="45" customHeight="1" x14ac:dyDescent="0.25">
      <c r="A5" s="35" t="s">
        <v>5</v>
      </c>
      <c r="B5" s="7" t="s">
        <v>98</v>
      </c>
      <c r="C5" s="11" t="s">
        <v>4</v>
      </c>
      <c r="D5" s="27">
        <f>D6+D8+D9+200</f>
        <v>687.7</v>
      </c>
      <c r="E5" s="27">
        <f t="shared" ref="E5" si="0">E6+E8+E9</f>
        <v>487.7</v>
      </c>
      <c r="F5" s="27">
        <f>$F$13/$D$13*D5</f>
        <v>910.92026404933563</v>
      </c>
      <c r="G5" s="10">
        <f t="shared" ref="G5:G12" si="1">F5/$F$2/10*1000</f>
        <v>17.266012055978916</v>
      </c>
      <c r="H5" s="3">
        <v>2.72</v>
      </c>
      <c r="I5" s="18">
        <f t="shared" ref="I5:I12" si="2">H5*$F$2*12/1000</f>
        <v>172.20211200000003</v>
      </c>
    </row>
    <row r="6" spans="1:13" ht="30" customHeight="1" x14ac:dyDescent="0.25">
      <c r="A6" s="12"/>
      <c r="B6" s="9" t="s">
        <v>28</v>
      </c>
      <c r="C6" s="5" t="s">
        <v>4</v>
      </c>
      <c r="D6" s="27">
        <v>10.199999999999999</v>
      </c>
      <c r="E6" s="27">
        <v>10.199999999999999</v>
      </c>
      <c r="F6" s="27">
        <v>10.199999999999999</v>
      </c>
      <c r="G6" s="10">
        <f t="shared" si="1"/>
        <v>0.19333560786989651</v>
      </c>
      <c r="I6" s="18">
        <f t="shared" si="2"/>
        <v>0</v>
      </c>
    </row>
    <row r="7" spans="1:13" ht="32.25" hidden="1" customHeight="1" x14ac:dyDescent="0.25">
      <c r="A7" s="12"/>
      <c r="B7" s="9" t="s">
        <v>27</v>
      </c>
      <c r="C7" s="5" t="s">
        <v>4</v>
      </c>
      <c r="D7" s="4">
        <v>4.3</v>
      </c>
      <c r="E7" s="8">
        <v>3</v>
      </c>
      <c r="F7" s="27">
        <f>$F$13/$D$13*D7</f>
        <v>5.6957352557977936</v>
      </c>
      <c r="G7" s="10">
        <f t="shared" si="1"/>
        <v>0.10795965077898696</v>
      </c>
      <c r="I7" s="18">
        <f t="shared" si="2"/>
        <v>0</v>
      </c>
    </row>
    <row r="8" spans="1:13" ht="25.5" x14ac:dyDescent="0.25">
      <c r="A8" s="12"/>
      <c r="B8" s="9" t="s">
        <v>8</v>
      </c>
      <c r="C8" s="5" t="s">
        <v>4</v>
      </c>
      <c r="D8" s="27">
        <v>22.5</v>
      </c>
      <c r="E8" s="27">
        <v>22.5</v>
      </c>
      <c r="F8" s="27">
        <v>22.5</v>
      </c>
      <c r="G8" s="10">
        <f t="shared" si="1"/>
        <v>0.42647560559535996</v>
      </c>
      <c r="H8" s="3">
        <v>0.4</v>
      </c>
      <c r="I8" s="18">
        <f t="shared" si="2"/>
        <v>25.323840000000004</v>
      </c>
    </row>
    <row r="9" spans="1:13" ht="31.5" customHeight="1" x14ac:dyDescent="0.25">
      <c r="A9" s="12"/>
      <c r="B9" s="9" t="s">
        <v>7</v>
      </c>
      <c r="C9" s="5" t="s">
        <v>4</v>
      </c>
      <c r="D9" s="27">
        <f>439.6+15.4</f>
        <v>455</v>
      </c>
      <c r="E9" s="27">
        <f t="shared" ref="E9:F9" si="3">439.6+15.4</f>
        <v>455</v>
      </c>
      <c r="F9" s="27">
        <f t="shared" si="3"/>
        <v>455</v>
      </c>
      <c r="G9" s="10">
        <f t="shared" si="1"/>
        <v>8.6242844687061666</v>
      </c>
      <c r="H9" s="3">
        <v>9.26</v>
      </c>
      <c r="I9" s="18">
        <f t="shared" si="2"/>
        <v>586.24689600000011</v>
      </c>
    </row>
    <row r="10" spans="1:13" ht="25.5" x14ac:dyDescent="0.25">
      <c r="A10" s="36" t="s">
        <v>6</v>
      </c>
      <c r="B10" s="7" t="s">
        <v>31</v>
      </c>
      <c r="C10" s="11" t="s">
        <v>4</v>
      </c>
      <c r="D10" s="27">
        <f>195.7</f>
        <v>195.7</v>
      </c>
      <c r="E10" s="13">
        <v>91.4</v>
      </c>
      <c r="F10" s="27">
        <f>$F$13/$D$13*D10</f>
        <v>259.22218361851816</v>
      </c>
      <c r="G10" s="10">
        <f t="shared" si="1"/>
        <v>4.9134194552204056</v>
      </c>
      <c r="H10" s="3">
        <v>4.26</v>
      </c>
      <c r="I10" s="18">
        <f t="shared" si="2"/>
        <v>269.69889599999999</v>
      </c>
    </row>
    <row r="11" spans="1:13" x14ac:dyDescent="0.25">
      <c r="A11" s="12"/>
      <c r="B11" s="4" t="s">
        <v>9</v>
      </c>
      <c r="C11" s="5" t="s">
        <v>4</v>
      </c>
      <c r="D11" s="27">
        <v>8.6999999999999993</v>
      </c>
      <c r="E11" s="27">
        <v>8.6999999999999993</v>
      </c>
      <c r="F11" s="27">
        <v>8.6999999999999993</v>
      </c>
      <c r="G11" s="10">
        <f t="shared" si="1"/>
        <v>0.16490390083020584</v>
      </c>
      <c r="I11" s="18">
        <f t="shared" si="2"/>
        <v>0</v>
      </c>
    </row>
    <row r="12" spans="1:13" x14ac:dyDescent="0.25">
      <c r="A12" s="36" t="s">
        <v>99</v>
      </c>
      <c r="B12" s="7" t="s">
        <v>10</v>
      </c>
      <c r="C12" s="11" t="s">
        <v>4</v>
      </c>
      <c r="D12" s="27">
        <f>168.3</f>
        <v>168.3</v>
      </c>
      <c r="E12" s="12">
        <v>37.9</v>
      </c>
      <c r="F12" s="27">
        <f>$F$13/$D$13*D12</f>
        <v>222.92842873273693</v>
      </c>
      <c r="G12" s="10">
        <f t="shared" si="1"/>
        <v>4.22549051769849</v>
      </c>
      <c r="H12" s="3">
        <v>2.4</v>
      </c>
      <c r="I12" s="18">
        <f t="shared" si="2"/>
        <v>151.94304</v>
      </c>
    </row>
    <row r="13" spans="1:13" x14ac:dyDescent="0.25">
      <c r="A13" s="14"/>
      <c r="B13" s="14" t="s">
        <v>13</v>
      </c>
      <c r="C13" s="15" t="s">
        <v>4</v>
      </c>
      <c r="D13" s="16">
        <v>1151.3</v>
      </c>
      <c r="E13" s="16">
        <f>E4+E5+E6+E8+E9+E10+E11+E12</f>
        <v>1178.4000000000003</v>
      </c>
      <c r="F13" s="16">
        <v>1525</v>
      </c>
      <c r="G13" s="37">
        <f>G12+G10+G5+G4</f>
        <v>28.904594676138945</v>
      </c>
      <c r="H13" s="3">
        <f>SUM(H4:H12)</f>
        <v>20.439999999999998</v>
      </c>
      <c r="I13" s="18">
        <f>SUM(I4:I12)</f>
        <v>1294.0482240000001</v>
      </c>
      <c r="K13" s="18">
        <f>D12+D10+D5+D4</f>
        <v>1151.2612000000001</v>
      </c>
      <c r="L13" s="18">
        <f t="shared" ref="L13" si="4">E4+E5+E10+E12+E9</f>
        <v>1137</v>
      </c>
      <c r="M13" s="18">
        <f>F12+F10+F5+F4</f>
        <v>1524.9486059237386</v>
      </c>
    </row>
    <row r="14" spans="1:13" ht="19.5" customHeight="1" x14ac:dyDescent="0.25">
      <c r="A14" s="4"/>
      <c r="B14" s="9" t="s">
        <v>12</v>
      </c>
      <c r="C14" s="5" t="s">
        <v>23</v>
      </c>
      <c r="D14" s="10">
        <f>D13/$F$2*1000/10</f>
        <v>21.822282876530572</v>
      </c>
      <c r="E14" s="10">
        <f t="shared" ref="E14:F14" si="5">E13/$F$2*1000/10</f>
        <v>22.335949050380989</v>
      </c>
      <c r="F14" s="10">
        <f t="shared" si="5"/>
        <v>28.905568823685506</v>
      </c>
      <c r="G14" s="10"/>
      <c r="I14" s="18"/>
    </row>
    <row r="15" spans="1:13" ht="18.75" customHeight="1" x14ac:dyDescent="0.25">
      <c r="A15" s="4"/>
      <c r="B15" s="9" t="s">
        <v>24</v>
      </c>
      <c r="C15" s="5" t="s">
        <v>23</v>
      </c>
      <c r="D15" s="8">
        <f>F2*H15/1000*10</f>
        <v>174.10139999999998</v>
      </c>
      <c r="E15" s="8">
        <f>G2*I15/1000*10</f>
        <v>0</v>
      </c>
      <c r="F15" s="8">
        <f>D15</f>
        <v>174.10139999999998</v>
      </c>
      <c r="G15" s="10">
        <f>F15/$F$2/10*1000</f>
        <v>3.2999999999999994</v>
      </c>
      <c r="H15" s="3">
        <v>3.3</v>
      </c>
      <c r="I15" s="18">
        <f>H15*F2/1000*12</f>
        <v>208.92167999999998</v>
      </c>
    </row>
    <row r="16" spans="1:13" x14ac:dyDescent="0.25">
      <c r="A16" s="4"/>
      <c r="B16" s="4" t="s">
        <v>14</v>
      </c>
      <c r="C16" s="5" t="s">
        <v>4</v>
      </c>
      <c r="D16" s="8">
        <f>D15+D13</f>
        <v>1325.4014</v>
      </c>
      <c r="E16" s="8">
        <f t="shared" ref="E16:G16" si="6">E15+E13</f>
        <v>1178.4000000000003</v>
      </c>
      <c r="F16" s="8">
        <f t="shared" si="6"/>
        <v>1699.1014</v>
      </c>
      <c r="G16" s="10">
        <f t="shared" si="6"/>
        <v>32.204594676138946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20.440000000000001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23.51</v>
      </c>
      <c r="E32" s="50"/>
      <c r="F32" s="51"/>
    </row>
    <row r="33" spans="1:6" ht="17.25" customHeight="1" x14ac:dyDescent="0.25">
      <c r="A33" s="4"/>
      <c r="B33" s="47" t="s">
        <v>24</v>
      </c>
      <c r="C33" s="48"/>
      <c r="D33" s="48"/>
      <c r="E33" s="48"/>
      <c r="F33" s="49"/>
    </row>
    <row r="34" spans="1:6" ht="15.75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39" t="s">
        <v>74</v>
      </c>
      <c r="C36" s="32">
        <f>D16</f>
        <v>1325.4014</v>
      </c>
    </row>
    <row r="37" spans="1:6" x14ac:dyDescent="0.25">
      <c r="B37" s="29" t="s">
        <v>75</v>
      </c>
      <c r="C37" s="32">
        <v>1232</v>
      </c>
    </row>
    <row r="38" spans="1:6" x14ac:dyDescent="0.25">
      <c r="B38" s="29" t="s">
        <v>76</v>
      </c>
      <c r="C38" s="32">
        <f>F16</f>
        <v>1699.1014</v>
      </c>
    </row>
    <row r="39" spans="1:6" ht="25.5" x14ac:dyDescent="0.25">
      <c r="B39" s="30" t="s">
        <v>87</v>
      </c>
      <c r="C39" s="32">
        <f>C36-C38</f>
        <v>-373.70000000000005</v>
      </c>
    </row>
    <row r="40" spans="1:6" x14ac:dyDescent="0.25">
      <c r="B40" s="33" t="s">
        <v>109</v>
      </c>
      <c r="C40" s="34">
        <v>378.5</v>
      </c>
    </row>
  </sheetData>
  <mergeCells count="20">
    <mergeCell ref="D34:F34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8:F28"/>
    <mergeCell ref="D29:F29"/>
    <mergeCell ref="B30:F30"/>
    <mergeCell ref="D31:F31"/>
    <mergeCell ref="D32:F32"/>
    <mergeCell ref="A2:B2"/>
    <mergeCell ref="D26:F26"/>
    <mergeCell ref="B27:F27"/>
    <mergeCell ref="A1:G1"/>
    <mergeCell ref="B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1"/>
  <sheetViews>
    <sheetView workbookViewId="0">
      <selection activeCell="D15" sqref="D15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5703125" style="3" customWidth="1"/>
    <col min="8" max="8" width="10" style="3" hidden="1" customWidth="1"/>
    <col min="9" max="9" width="9.140625" style="3" hidden="1" customWidth="1"/>
    <col min="10" max="10" width="0" style="3" hidden="1" customWidth="1"/>
    <col min="11" max="12" width="9.140625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55</v>
      </c>
      <c r="B2" s="54"/>
      <c r="F2" s="21">
        <v>5156.3999999999996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2" t="s">
        <v>25</v>
      </c>
      <c r="E3" s="4" t="s">
        <v>11</v>
      </c>
      <c r="F3" s="12" t="s">
        <v>26</v>
      </c>
      <c r="G3" s="11" t="s">
        <v>103</v>
      </c>
    </row>
    <row r="4" spans="1:12" ht="55.5" customHeight="1" x14ac:dyDescent="0.25">
      <c r="A4" s="12" t="s">
        <v>3</v>
      </c>
      <c r="B4" s="7" t="s">
        <v>30</v>
      </c>
      <c r="C4" s="11" t="s">
        <v>4</v>
      </c>
      <c r="D4" s="27">
        <v>86</v>
      </c>
      <c r="E4" s="13">
        <f>42.9+22.1</f>
        <v>65</v>
      </c>
      <c r="F4" s="27">
        <f>$F$14/$D$14*D4</f>
        <v>135.62173608743245</v>
      </c>
      <c r="G4" s="10">
        <f t="shared" ref="G4:G13" si="0">F4/$F$2/10*1000</f>
        <v>2.6301632163414874</v>
      </c>
      <c r="H4" s="3">
        <v>1.4</v>
      </c>
      <c r="I4" s="17">
        <f>H4*$F$2*12/1000</f>
        <v>86.62751999999999</v>
      </c>
    </row>
    <row r="5" spans="1:12" ht="15.75" customHeight="1" x14ac:dyDescent="0.25">
      <c r="A5" s="12"/>
      <c r="B5" s="7" t="s">
        <v>50</v>
      </c>
      <c r="C5" s="5" t="s">
        <v>4</v>
      </c>
      <c r="D5" s="27"/>
      <c r="E5" s="13"/>
      <c r="F5" s="27">
        <v>135.4</v>
      </c>
      <c r="G5" s="10">
        <f t="shared" si="0"/>
        <v>2.625863005197425</v>
      </c>
      <c r="I5" s="17">
        <f t="shared" ref="I5:I13" si="1">H5*$F$2*12/1000</f>
        <v>0</v>
      </c>
    </row>
    <row r="6" spans="1:12" ht="45" customHeight="1" x14ac:dyDescent="0.25">
      <c r="A6" s="36" t="s">
        <v>5</v>
      </c>
      <c r="B6" s="7" t="s">
        <v>98</v>
      </c>
      <c r="C6" s="11" t="s">
        <v>4</v>
      </c>
      <c r="D6" s="27">
        <f>D7+D8+D9+D10+250</f>
        <v>767.15200000000004</v>
      </c>
      <c r="E6" s="27">
        <f t="shared" ref="E6" si="2">E7+E8+E9+E10+250</f>
        <v>767.15200000000004</v>
      </c>
      <c r="F6" s="27">
        <f>$F$14/$D$14*D6</f>
        <v>1209.7963498016977</v>
      </c>
      <c r="G6" s="10">
        <f t="shared" si="0"/>
        <v>23.4620345551489</v>
      </c>
      <c r="H6" s="3">
        <v>2.72</v>
      </c>
      <c r="I6" s="17">
        <f t="shared" si="1"/>
        <v>168.30489600000001</v>
      </c>
    </row>
    <row r="7" spans="1:12" ht="30" customHeight="1" x14ac:dyDescent="0.25">
      <c r="A7" s="12"/>
      <c r="B7" s="9" t="s">
        <v>28</v>
      </c>
      <c r="C7" s="5" t="s">
        <v>4</v>
      </c>
      <c r="D7" s="27">
        <v>5.4</v>
      </c>
      <c r="E7" s="27">
        <v>5.4</v>
      </c>
      <c r="F7" s="27">
        <v>5.4</v>
      </c>
      <c r="G7" s="10">
        <f t="shared" si="0"/>
        <v>0.10472422620432861</v>
      </c>
      <c r="I7" s="17">
        <f t="shared" si="1"/>
        <v>0</v>
      </c>
    </row>
    <row r="8" spans="1:12" ht="32.25" customHeight="1" x14ac:dyDescent="0.25">
      <c r="A8" s="12"/>
      <c r="B8" s="9" t="s">
        <v>27</v>
      </c>
      <c r="C8" s="5" t="s">
        <v>4</v>
      </c>
      <c r="D8" s="27">
        <v>8.4</v>
      </c>
      <c r="E8" s="27">
        <v>8.4</v>
      </c>
      <c r="F8" s="27">
        <v>8.4</v>
      </c>
      <c r="G8" s="10">
        <f t="shared" si="0"/>
        <v>0.16290435187340005</v>
      </c>
      <c r="H8" s="3">
        <v>0.16</v>
      </c>
      <c r="I8" s="17">
        <f t="shared" si="1"/>
        <v>9.9002879999999998</v>
      </c>
    </row>
    <row r="9" spans="1:12" ht="25.5" x14ac:dyDescent="0.25">
      <c r="A9" s="12"/>
      <c r="B9" s="7" t="s">
        <v>8</v>
      </c>
      <c r="C9" s="11" t="s">
        <v>4</v>
      </c>
      <c r="D9" s="27">
        <v>45</v>
      </c>
      <c r="E9" s="27">
        <v>45</v>
      </c>
      <c r="F9" s="27">
        <v>45</v>
      </c>
      <c r="G9" s="10">
        <f t="shared" si="0"/>
        <v>0.87270188503607171</v>
      </c>
      <c r="H9" s="17">
        <f>30/F2/12*1000</f>
        <v>0.48483438057559536</v>
      </c>
      <c r="I9" s="17">
        <f t="shared" si="1"/>
        <v>29.999999999999993</v>
      </c>
    </row>
    <row r="10" spans="1:12" ht="31.5" customHeight="1" x14ac:dyDescent="0.25">
      <c r="A10" s="12"/>
      <c r="B10" s="7" t="s">
        <v>7</v>
      </c>
      <c r="C10" s="11" t="s">
        <v>4</v>
      </c>
      <c r="D10" s="27">
        <f t="shared" ref="D10:F10" si="3">439+1.18+15.4*1.18</f>
        <v>458.35200000000003</v>
      </c>
      <c r="E10" s="27">
        <f t="shared" si="3"/>
        <v>458.35200000000003</v>
      </c>
      <c r="F10" s="27">
        <f t="shared" si="3"/>
        <v>458.35200000000003</v>
      </c>
      <c r="G10" s="10">
        <f t="shared" si="0"/>
        <v>8.8889923202234122</v>
      </c>
      <c r="H10" s="3">
        <v>9.31</v>
      </c>
      <c r="I10" s="17">
        <f t="shared" si="1"/>
        <v>576.07300800000007</v>
      </c>
    </row>
    <row r="11" spans="1:12" ht="25.5" x14ac:dyDescent="0.25">
      <c r="A11" s="12" t="s">
        <v>5</v>
      </c>
      <c r="B11" s="7" t="s">
        <v>31</v>
      </c>
      <c r="C11" s="11" t="s">
        <v>4</v>
      </c>
      <c r="D11" s="27">
        <v>359</v>
      </c>
      <c r="E11" s="27">
        <v>359</v>
      </c>
      <c r="F11" s="27">
        <f>$F$14/$D$14*D11</f>
        <v>566.14189831846807</v>
      </c>
      <c r="G11" s="10">
        <f t="shared" si="0"/>
        <v>10.979402263565047</v>
      </c>
      <c r="H11" s="3">
        <v>6.24</v>
      </c>
      <c r="I11" s="17">
        <f t="shared" si="1"/>
        <v>386.11123199999997</v>
      </c>
    </row>
    <row r="12" spans="1:12" x14ac:dyDescent="0.25">
      <c r="A12" s="12"/>
      <c r="B12" s="9" t="s">
        <v>9</v>
      </c>
      <c r="C12" s="5" t="s">
        <v>4</v>
      </c>
      <c r="D12" s="27">
        <v>5.4</v>
      </c>
      <c r="E12" s="27">
        <f t="shared" ref="E12" si="4">4.6*1.18</f>
        <v>5.427999999999999</v>
      </c>
      <c r="F12" s="27">
        <f>$F$14/$D$14*D12</f>
        <v>8.5157834287457597</v>
      </c>
      <c r="G12" s="10">
        <f t="shared" si="0"/>
        <v>0.16514978335167482</v>
      </c>
      <c r="I12" s="17">
        <f t="shared" si="1"/>
        <v>0</v>
      </c>
    </row>
    <row r="13" spans="1:12" x14ac:dyDescent="0.25">
      <c r="A13" s="12" t="s">
        <v>6</v>
      </c>
      <c r="B13" s="7" t="s">
        <v>10</v>
      </c>
      <c r="C13" s="11" t="s">
        <v>4</v>
      </c>
      <c r="D13" s="27">
        <v>125.2</v>
      </c>
      <c r="E13" s="12">
        <v>37.9</v>
      </c>
      <c r="F13" s="27">
        <f>$F$14/$D$14*D13</f>
        <v>197.44001579240168</v>
      </c>
      <c r="G13" s="10">
        <f t="shared" si="0"/>
        <v>3.8290283103017937</v>
      </c>
      <c r="H13" s="3">
        <v>2.4</v>
      </c>
      <c r="I13" s="17">
        <f t="shared" si="1"/>
        <v>148.50431999999998</v>
      </c>
    </row>
    <row r="14" spans="1:12" x14ac:dyDescent="0.25">
      <c r="A14" s="14"/>
      <c r="B14" s="14" t="s">
        <v>13</v>
      </c>
      <c r="C14" s="15" t="s">
        <v>4</v>
      </c>
      <c r="D14" s="16">
        <f>D4+D6+D11+D13</f>
        <v>1337.3520000000001</v>
      </c>
      <c r="E14" s="16">
        <f t="shared" ref="E14" si="5">E4+E6+E11+E13</f>
        <v>1229.0520000000001</v>
      </c>
      <c r="F14" s="16">
        <v>2109</v>
      </c>
      <c r="G14" s="37">
        <f>G13+G11+G6+G4</f>
        <v>40.900628345357227</v>
      </c>
      <c r="H14" s="17">
        <f>SUM(H4:H13)</f>
        <v>22.714834380575596</v>
      </c>
      <c r="I14" s="17">
        <f>SUM(I4:I13)</f>
        <v>1405.521264</v>
      </c>
      <c r="J14" s="18">
        <f>D13+D11+D6+D4</f>
        <v>1337.3520000000001</v>
      </c>
      <c r="K14" s="18">
        <f>E13+E11+E6+E4</f>
        <v>1229.0520000000001</v>
      </c>
      <c r="L14" s="18">
        <f>F13+F11+F6+F4</f>
        <v>2109</v>
      </c>
    </row>
    <row r="15" spans="1:12" ht="19.5" customHeight="1" x14ac:dyDescent="0.25">
      <c r="A15" s="4"/>
      <c r="B15" s="9" t="s">
        <v>12</v>
      </c>
      <c r="C15" s="5" t="s">
        <v>23</v>
      </c>
      <c r="D15" s="10">
        <f>D14/$F$2*1000/10</f>
        <v>25.935769141261353</v>
      </c>
      <c r="E15" s="10">
        <f t="shared" ref="E15:F15" si="6">E14/$F$2*1000/10</f>
        <v>23.835466604607866</v>
      </c>
      <c r="F15" s="10">
        <f t="shared" si="6"/>
        <v>40.900628345357227</v>
      </c>
      <c r="G15" s="10"/>
      <c r="I15" s="18"/>
    </row>
    <row r="16" spans="1:12" ht="18.75" customHeight="1" x14ac:dyDescent="0.25">
      <c r="A16" s="4"/>
      <c r="B16" s="9" t="s">
        <v>24</v>
      </c>
      <c r="C16" s="5" t="s">
        <v>23</v>
      </c>
      <c r="D16" s="8">
        <f>F2*H16/1000*10</f>
        <v>170.16119999999998</v>
      </c>
      <c r="E16" s="8">
        <v>49.8</v>
      </c>
      <c r="F16" s="27">
        <f>D16</f>
        <v>170.16119999999998</v>
      </c>
      <c r="G16" s="10">
        <f>F16/$F$2/10*1000</f>
        <v>3.3</v>
      </c>
      <c r="H16" s="3">
        <v>3.3</v>
      </c>
      <c r="I16" s="18">
        <f>H16*F2/1000*12</f>
        <v>204.19343999999995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1507.5132000000001</v>
      </c>
      <c r="E17" s="8">
        <f t="shared" ref="E17:G17" si="7">E16+E14</f>
        <v>1278.8520000000001</v>
      </c>
      <c r="F17" s="8">
        <f t="shared" si="7"/>
        <v>2279.1612</v>
      </c>
      <c r="G17" s="10">
        <f t="shared" si="7"/>
        <v>44.200628345357224</v>
      </c>
      <c r="H17" s="17">
        <f>SUM(H14:H16)</f>
        <v>26.014834380575596</v>
      </c>
      <c r="I17" s="18" t="e">
        <f>H17*F3/1000*12</f>
        <v>#VALUE!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22.71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0">
        <v>29.23</v>
      </c>
      <c r="E33" s="50"/>
      <c r="F33" s="51"/>
    </row>
    <row r="34" spans="1:6" ht="17.25" customHeight="1" x14ac:dyDescent="0.25">
      <c r="A34" s="4"/>
      <c r="B34" s="47" t="s">
        <v>24</v>
      </c>
      <c r="C34" s="48"/>
      <c r="D34" s="48"/>
      <c r="E34" s="48"/>
      <c r="F34" s="49"/>
    </row>
    <row r="35" spans="1:6" ht="15.75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x14ac:dyDescent="0.25">
      <c r="B37" s="29" t="s">
        <v>74</v>
      </c>
      <c r="C37" s="32">
        <f>D17</f>
        <v>1507.5132000000001</v>
      </c>
    </row>
    <row r="38" spans="1:6" x14ac:dyDescent="0.25">
      <c r="B38" s="29" t="s">
        <v>75</v>
      </c>
      <c r="C38" s="34">
        <v>1207.5</v>
      </c>
    </row>
    <row r="39" spans="1:6" x14ac:dyDescent="0.25">
      <c r="B39" s="29" t="s">
        <v>76</v>
      </c>
      <c r="C39" s="32">
        <f>F17</f>
        <v>2279.1612</v>
      </c>
    </row>
    <row r="40" spans="1:6" ht="25.5" x14ac:dyDescent="0.25">
      <c r="B40" s="30" t="s">
        <v>88</v>
      </c>
      <c r="C40" s="32">
        <f>C37-C39</f>
        <v>-771.64799999999991</v>
      </c>
    </row>
    <row r="41" spans="1:6" x14ac:dyDescent="0.25">
      <c r="B41" s="33" t="s">
        <v>109</v>
      </c>
      <c r="C41" s="34">
        <v>989.4</v>
      </c>
    </row>
  </sheetData>
  <mergeCells count="20">
    <mergeCell ref="B31:F31"/>
    <mergeCell ref="D32:F32"/>
    <mergeCell ref="D33:F33"/>
    <mergeCell ref="B34:F34"/>
    <mergeCell ref="D35:F35"/>
    <mergeCell ref="D26:F26"/>
    <mergeCell ref="D27:F27"/>
    <mergeCell ref="B28:F28"/>
    <mergeCell ref="D29:F29"/>
    <mergeCell ref="D30:F30"/>
    <mergeCell ref="B21:F21"/>
    <mergeCell ref="D22:F22"/>
    <mergeCell ref="D23:F23"/>
    <mergeCell ref="B24:F24"/>
    <mergeCell ref="D25:F25"/>
    <mergeCell ref="A2:B2"/>
    <mergeCell ref="B18:F18"/>
    <mergeCell ref="D19:F19"/>
    <mergeCell ref="D20:F20"/>
    <mergeCell ref="A1:G1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9"/>
  <sheetViews>
    <sheetView workbookViewId="0">
      <selection activeCell="Q6" sqref="Q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4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72</v>
      </c>
      <c r="B2" s="54"/>
      <c r="F2" s="21">
        <v>2397.1</v>
      </c>
    </row>
    <row r="3" spans="1:12" ht="25.5" x14ac:dyDescent="0.25">
      <c r="A3" s="4" t="s">
        <v>73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2.75" customHeight="1" x14ac:dyDescent="0.25">
      <c r="A4" s="36" t="s">
        <v>3</v>
      </c>
      <c r="B4" s="7" t="s">
        <v>97</v>
      </c>
      <c r="C4" s="11" t="s">
        <v>4</v>
      </c>
      <c r="D4" s="13">
        <f>H4*$F$2*12/1000+22.8</f>
        <v>63.071280000000002</v>
      </c>
      <c r="E4" s="13">
        <f>42.9+22.1</f>
        <v>65</v>
      </c>
      <c r="F4" s="13">
        <f>$F$12/$D$12*D4</f>
        <v>49.512087429451</v>
      </c>
      <c r="G4" s="10">
        <f>F4/$F$2/10*1000</f>
        <v>2.0654994547349297</v>
      </c>
      <c r="H4" s="3">
        <v>1.4</v>
      </c>
      <c r="I4" s="17">
        <f>H4*$F$2*12/1000</f>
        <v>40.271279999999997</v>
      </c>
    </row>
    <row r="5" spans="1:12" ht="42.75" customHeight="1" x14ac:dyDescent="0.25">
      <c r="A5" s="36" t="s">
        <v>5</v>
      </c>
      <c r="B5" s="7" t="s">
        <v>98</v>
      </c>
      <c r="C5" s="11" t="s">
        <v>4</v>
      </c>
      <c r="D5" s="27">
        <f>H5*$F$2*12/1000</f>
        <v>78.241343999999998</v>
      </c>
      <c r="E5" s="13"/>
      <c r="F5" s="27">
        <f>$F$12/$D$12*D5</f>
        <v>61.420860092355049</v>
      </c>
      <c r="G5" s="10">
        <f t="shared" ref="G5:G11" si="0">F5/$F$2/10*1000</f>
        <v>2.5622986146741917</v>
      </c>
      <c r="H5" s="3">
        <v>2.72</v>
      </c>
      <c r="I5" s="17">
        <f t="shared" ref="I5:I7" si="1">H5*$F$2*12/1000</f>
        <v>78.241343999999998</v>
      </c>
    </row>
    <row r="6" spans="1:12" ht="30" customHeight="1" x14ac:dyDescent="0.25">
      <c r="A6" s="19"/>
      <c r="B6" s="9" t="s">
        <v>28</v>
      </c>
      <c r="C6" s="5" t="s">
        <v>4</v>
      </c>
      <c r="D6" s="27">
        <v>3</v>
      </c>
      <c r="E6" s="27">
        <v>3</v>
      </c>
      <c r="F6" s="27">
        <v>3</v>
      </c>
      <c r="G6" s="10">
        <f t="shared" si="0"/>
        <v>0.12515122439614534</v>
      </c>
      <c r="I6" s="17">
        <f t="shared" si="1"/>
        <v>0</v>
      </c>
    </row>
    <row r="7" spans="1:12" ht="32.25" customHeight="1" x14ac:dyDescent="0.25">
      <c r="A7" s="19"/>
      <c r="B7" s="9" t="s">
        <v>27</v>
      </c>
      <c r="C7" s="5" t="s">
        <v>4</v>
      </c>
      <c r="D7" s="27">
        <v>4.5999999999999996</v>
      </c>
      <c r="E7" s="27">
        <v>4.5999999999999996</v>
      </c>
      <c r="F7" s="27">
        <v>4.5999999999999996</v>
      </c>
      <c r="G7" s="10">
        <f t="shared" si="0"/>
        <v>0.19189854407408952</v>
      </c>
      <c r="H7" s="3">
        <v>0.11</v>
      </c>
      <c r="I7" s="17">
        <f t="shared" si="1"/>
        <v>3.1641719999999998</v>
      </c>
    </row>
    <row r="8" spans="1:12" ht="25.5" x14ac:dyDescent="0.25">
      <c r="A8" s="19"/>
      <c r="B8" s="7" t="s">
        <v>116</v>
      </c>
      <c r="C8" s="11" t="s">
        <v>4</v>
      </c>
      <c r="D8" s="27">
        <v>22.5</v>
      </c>
      <c r="E8" s="27">
        <v>22.5</v>
      </c>
      <c r="F8" s="27">
        <v>22.5</v>
      </c>
      <c r="G8" s="10">
        <f t="shared" si="0"/>
        <v>0.93863418297109014</v>
      </c>
      <c r="H8" s="17">
        <f>30/12/F2*1000</f>
        <v>1.042926869967878</v>
      </c>
      <c r="I8" s="17">
        <f t="shared" ref="I8:I11" si="2">H8*$F$2*12/1000</f>
        <v>30</v>
      </c>
    </row>
    <row r="9" spans="1:12" ht="25.5" x14ac:dyDescent="0.25">
      <c r="A9" s="36" t="s">
        <v>6</v>
      </c>
      <c r="B9" s="7" t="s">
        <v>31</v>
      </c>
      <c r="C9" s="11" t="s">
        <v>4</v>
      </c>
      <c r="D9" s="27">
        <f t="shared" ref="D9:D11" si="3">H9*$F$2*12/1000</f>
        <v>179.49484799999999</v>
      </c>
      <c r="E9" s="13">
        <v>91.4</v>
      </c>
      <c r="F9" s="27">
        <f>$F$12/$D$12*D9</f>
        <v>140.90667903540276</v>
      </c>
      <c r="G9" s="10">
        <f t="shared" si="0"/>
        <v>5.878214468958439</v>
      </c>
      <c r="H9" s="3">
        <v>6.24</v>
      </c>
      <c r="I9" s="17">
        <f t="shared" si="2"/>
        <v>179.49484799999999</v>
      </c>
    </row>
    <row r="10" spans="1:12" hidden="1" x14ac:dyDescent="0.25">
      <c r="A10" s="36" t="s">
        <v>6</v>
      </c>
      <c r="B10" s="9" t="s">
        <v>9</v>
      </c>
      <c r="C10" s="5" t="s">
        <v>4</v>
      </c>
      <c r="D10" s="27">
        <f t="shared" si="3"/>
        <v>0</v>
      </c>
      <c r="E10" s="4"/>
      <c r="F10" s="27">
        <f>$F$15/$D$15*D10</f>
        <v>0</v>
      </c>
      <c r="G10" s="10">
        <f t="shared" si="0"/>
        <v>0</v>
      </c>
      <c r="I10" s="17"/>
    </row>
    <row r="11" spans="1:12" x14ac:dyDescent="0.25">
      <c r="A11" s="36" t="s">
        <v>99</v>
      </c>
      <c r="B11" s="7" t="s">
        <v>10</v>
      </c>
      <c r="C11" s="11" t="s">
        <v>4</v>
      </c>
      <c r="D11" s="27">
        <f t="shared" si="3"/>
        <v>69.036479999999997</v>
      </c>
      <c r="E11" s="19">
        <v>37.9</v>
      </c>
      <c r="F11" s="27">
        <f>$F$12/$D$12*D11</f>
        <v>54.194876552077986</v>
      </c>
      <c r="G11" s="10">
        <f t="shared" si="0"/>
        <v>2.2608517188301693</v>
      </c>
      <c r="H11" s="3">
        <v>2.4</v>
      </c>
      <c r="I11" s="17">
        <f t="shared" si="2"/>
        <v>69.036479999999997</v>
      </c>
    </row>
    <row r="12" spans="1:12" x14ac:dyDescent="0.25">
      <c r="A12" s="14"/>
      <c r="B12" s="14" t="s">
        <v>13</v>
      </c>
      <c r="C12" s="15" t="s">
        <v>4</v>
      </c>
      <c r="D12" s="16">
        <v>389.8</v>
      </c>
      <c r="E12" s="16">
        <f>E11+E9+E8+E7+E6+E5+E4</f>
        <v>224.4</v>
      </c>
      <c r="F12" s="16">
        <v>306</v>
      </c>
      <c r="G12" s="37">
        <f>G11+G9+G5+G4</f>
        <v>12.766864257197728</v>
      </c>
      <c r="H12" s="17">
        <f>H4+H5+H7+H8+H9+H11</f>
        <v>13.912926869967878</v>
      </c>
      <c r="I12" s="17">
        <f>I4+I5+I7+I8+I9+I11</f>
        <v>400.20812399999994</v>
      </c>
      <c r="J12" s="18"/>
      <c r="K12" s="18">
        <f>D11+D9+D5+D4</f>
        <v>389.84395199999994</v>
      </c>
      <c r="L12" s="18">
        <f>F11+F9+F5+F4</f>
        <v>306.03450310928679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16.261315756539155</v>
      </c>
      <c r="E13" s="10">
        <f t="shared" ref="E13:F13" si="4">E12/$F$2*1000/10</f>
        <v>9.3613115848316717</v>
      </c>
      <c r="F13" s="10">
        <f t="shared" si="4"/>
        <v>12.765424888406827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79.104299999999995</v>
      </c>
      <c r="E14" s="8">
        <v>49.8</v>
      </c>
      <c r="F14" s="8">
        <f>D14</f>
        <v>79.104299999999995</v>
      </c>
      <c r="G14" s="10">
        <f>F14/$F$2/10*1000</f>
        <v>3.3</v>
      </c>
      <c r="H14" s="3">
        <v>3.3</v>
      </c>
      <c r="I14" s="18">
        <f>H14*F2/1000*12</f>
        <v>94.925159999999991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468.90430000000003</v>
      </c>
      <c r="E15" s="8">
        <f t="shared" ref="E15:G15" si="5">E14+E12</f>
        <v>274.2</v>
      </c>
      <c r="F15" s="8">
        <f t="shared" si="5"/>
        <v>385.10429999999997</v>
      </c>
      <c r="G15" s="10">
        <f t="shared" si="5"/>
        <v>16.066864257197729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13.91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19.329999999999998</v>
      </c>
      <c r="E31" s="50"/>
      <c r="F31" s="51"/>
    </row>
    <row r="32" spans="1:10" ht="17.25" customHeight="1" x14ac:dyDescent="0.25">
      <c r="A32" s="4"/>
      <c r="B32" s="47" t="s">
        <v>24</v>
      </c>
      <c r="C32" s="48"/>
      <c r="D32" s="48"/>
      <c r="E32" s="48"/>
      <c r="F32" s="49"/>
    </row>
    <row r="33" spans="1:6" ht="15.75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468.90430000000003</v>
      </c>
    </row>
    <row r="36" spans="1:6" x14ac:dyDescent="0.25">
      <c r="B36" s="29" t="s">
        <v>75</v>
      </c>
      <c r="C36" s="34">
        <v>414.7</v>
      </c>
    </row>
    <row r="37" spans="1:6" x14ac:dyDescent="0.25">
      <c r="B37" s="29" t="s">
        <v>76</v>
      </c>
      <c r="C37" s="32">
        <f>F15</f>
        <v>385.10429999999997</v>
      </c>
    </row>
    <row r="38" spans="1:6" ht="25.5" x14ac:dyDescent="0.25">
      <c r="B38" s="30" t="s">
        <v>79</v>
      </c>
      <c r="C38" s="32">
        <f>C35-C37</f>
        <v>83.800000000000068</v>
      </c>
    </row>
    <row r="39" spans="1:6" x14ac:dyDescent="0.25">
      <c r="B39" s="33" t="s">
        <v>109</v>
      </c>
      <c r="C39" s="32">
        <v>197.2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D31:F31"/>
    <mergeCell ref="B32:F32"/>
    <mergeCell ref="D33:F33"/>
    <mergeCell ref="B26:F26"/>
    <mergeCell ref="D27:F27"/>
    <mergeCell ref="D28:F28"/>
    <mergeCell ref="B29:F29"/>
    <mergeCell ref="D30:F30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40"/>
  <sheetViews>
    <sheetView workbookViewId="0">
      <selection activeCell="R21" sqref="R21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58</v>
      </c>
      <c r="B2" s="54"/>
      <c r="F2" s="21">
        <v>2871.1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5.75" customHeight="1" x14ac:dyDescent="0.25">
      <c r="A4" s="36" t="s">
        <v>3</v>
      </c>
      <c r="B4" s="7" t="s">
        <v>97</v>
      </c>
      <c r="C4" s="11" t="s">
        <v>4</v>
      </c>
      <c r="D4" s="13">
        <f>H4*$F$2*10/1000+20+0.9</f>
        <v>61.095399999999991</v>
      </c>
      <c r="E4" s="13">
        <f>42.9+22.1</f>
        <v>65</v>
      </c>
      <c r="F4" s="13">
        <f>$F$13/$D$13*D4</f>
        <v>44.496525478498626</v>
      </c>
      <c r="G4" s="10">
        <f>F4/$F$2/10*1000</f>
        <v>1.5498075817107948</v>
      </c>
      <c r="H4" s="3">
        <v>1.4</v>
      </c>
      <c r="I4" s="17">
        <f>H4*$F$2*12/1000</f>
        <v>48.234479999999998</v>
      </c>
    </row>
    <row r="5" spans="1:12" ht="48" customHeight="1" x14ac:dyDescent="0.25">
      <c r="A5" s="36" t="s">
        <v>5</v>
      </c>
      <c r="B5" s="7" t="s">
        <v>98</v>
      </c>
      <c r="C5" s="11" t="s">
        <v>4</v>
      </c>
      <c r="D5" s="27">
        <f>H5*$F$2*10/1000+15</f>
        <v>93.093920000000011</v>
      </c>
      <c r="E5" s="27"/>
      <c r="F5" s="27">
        <f>$F$13/$D$13*D5</f>
        <v>67.801438130748195</v>
      </c>
      <c r="G5" s="10">
        <f t="shared" ref="G5:G12" si="0">F5/$F$2/10*1000</f>
        <v>2.3615143370397478</v>
      </c>
      <c r="H5" s="3">
        <v>2.72</v>
      </c>
      <c r="I5" s="17">
        <f t="shared" ref="I5:I7" si="1">H5*$F$2*12/1000</f>
        <v>93.712704000000016</v>
      </c>
    </row>
    <row r="6" spans="1:12" ht="30" customHeight="1" x14ac:dyDescent="0.25">
      <c r="A6" s="19"/>
      <c r="B6" s="9" t="s">
        <v>28</v>
      </c>
      <c r="C6" s="5" t="s">
        <v>4</v>
      </c>
      <c r="D6" s="8">
        <v>2.9</v>
      </c>
      <c r="E6" s="4">
        <v>4.5</v>
      </c>
      <c r="F6" s="27">
        <v>11.7</v>
      </c>
      <c r="G6" s="10">
        <f t="shared" si="0"/>
        <v>0.40750931698652082</v>
      </c>
      <c r="I6" s="17">
        <f t="shared" si="1"/>
        <v>0</v>
      </c>
    </row>
    <row r="7" spans="1:12" ht="32.25" customHeight="1" x14ac:dyDescent="0.25">
      <c r="A7" s="19"/>
      <c r="B7" s="9" t="s">
        <v>27</v>
      </c>
      <c r="C7" s="5" t="s">
        <v>4</v>
      </c>
      <c r="D7" s="27">
        <v>5.0999999999999996</v>
      </c>
      <c r="E7" s="8">
        <v>3</v>
      </c>
      <c r="F7" s="27">
        <v>3.8</v>
      </c>
      <c r="G7" s="10">
        <f t="shared" si="0"/>
        <v>0.13235345338023755</v>
      </c>
      <c r="H7" s="3">
        <v>0.11</v>
      </c>
      <c r="I7" s="17">
        <f t="shared" si="1"/>
        <v>3.7898519999999998</v>
      </c>
    </row>
    <row r="8" spans="1:12" ht="25.5" x14ac:dyDescent="0.25">
      <c r="A8" s="19"/>
      <c r="B8" s="7" t="s">
        <v>116</v>
      </c>
      <c r="C8" s="11" t="s">
        <v>4</v>
      </c>
      <c r="D8" s="27">
        <v>22.5</v>
      </c>
      <c r="E8" s="13"/>
      <c r="F8" s="27">
        <f t="shared" ref="F8:F11" si="2">$F$16/$D$16*D8</f>
        <v>17.552271790374459</v>
      </c>
      <c r="G8" s="10">
        <f t="shared" si="0"/>
        <v>0.61134310161173278</v>
      </c>
      <c r="H8" s="17">
        <v>0.87</v>
      </c>
      <c r="I8" s="17">
        <f t="shared" ref="I8:I12" si="3">H8*$F$2*12/1000</f>
        <v>29.974284000000001</v>
      </c>
    </row>
    <row r="9" spans="1:12" ht="31.5" hidden="1" customHeight="1" x14ac:dyDescent="0.25">
      <c r="A9" s="19"/>
      <c r="B9" s="7" t="s">
        <v>7</v>
      </c>
      <c r="C9" s="11" t="s">
        <v>4</v>
      </c>
      <c r="D9" s="27">
        <f t="shared" ref="D9:D11" si="4">H9*$F$2*12/1000</f>
        <v>320.75929200000002</v>
      </c>
      <c r="E9" s="13"/>
      <c r="F9" s="27">
        <f t="shared" si="2"/>
        <v>250.22463433209265</v>
      </c>
      <c r="G9" s="10">
        <f t="shared" si="0"/>
        <v>8.7152880196472662</v>
      </c>
      <c r="H9" s="3">
        <v>9.31</v>
      </c>
      <c r="I9" s="17">
        <f t="shared" si="3"/>
        <v>320.75929200000002</v>
      </c>
    </row>
    <row r="10" spans="1:12" ht="25.5" x14ac:dyDescent="0.25">
      <c r="A10" s="36" t="s">
        <v>6</v>
      </c>
      <c r="B10" s="7" t="s">
        <v>117</v>
      </c>
      <c r="C10" s="11" t="s">
        <v>4</v>
      </c>
      <c r="D10" s="27">
        <f>H10*$F$2*10/1000</f>
        <v>179.15664000000001</v>
      </c>
      <c r="E10" s="13">
        <v>91.4</v>
      </c>
      <c r="F10" s="27">
        <f>$F$13/$D$13*D10</f>
        <v>130.48196748695003</v>
      </c>
      <c r="G10" s="10">
        <f t="shared" si="0"/>
        <v>4.5446681580909774</v>
      </c>
      <c r="H10" s="3">
        <v>6.24</v>
      </c>
      <c r="I10" s="17">
        <f t="shared" si="3"/>
        <v>214.987968</v>
      </c>
    </row>
    <row r="11" spans="1:12" hidden="1" x14ac:dyDescent="0.25">
      <c r="A11" s="36" t="s">
        <v>6</v>
      </c>
      <c r="B11" s="9" t="s">
        <v>9</v>
      </c>
      <c r="C11" s="5" t="s">
        <v>4</v>
      </c>
      <c r="D11" s="27">
        <f t="shared" si="4"/>
        <v>0</v>
      </c>
      <c r="E11" s="4"/>
      <c r="F11" s="27">
        <f t="shared" si="2"/>
        <v>0</v>
      </c>
      <c r="G11" s="10">
        <f t="shared" si="0"/>
        <v>0</v>
      </c>
      <c r="I11" s="17"/>
    </row>
    <row r="12" spans="1:12" x14ac:dyDescent="0.25">
      <c r="A12" s="36" t="s">
        <v>99</v>
      </c>
      <c r="B12" s="7" t="s">
        <v>10</v>
      </c>
      <c r="C12" s="11" t="s">
        <v>4</v>
      </c>
      <c r="D12" s="27">
        <f>H12*$F$2*10/1000</f>
        <v>68.906399999999991</v>
      </c>
      <c r="E12" s="19">
        <v>37.9</v>
      </c>
      <c r="F12" s="27">
        <f>$F$13/$D$13*D12</f>
        <v>50.185372110365385</v>
      </c>
      <c r="G12" s="10">
        <f t="shared" si="0"/>
        <v>1.7479492915734522</v>
      </c>
      <c r="H12" s="3">
        <v>2.4</v>
      </c>
      <c r="I12" s="17">
        <f t="shared" si="3"/>
        <v>82.687679999999986</v>
      </c>
    </row>
    <row r="13" spans="1:12" x14ac:dyDescent="0.25">
      <c r="A13" s="14"/>
      <c r="B13" s="14" t="s">
        <v>13</v>
      </c>
      <c r="C13" s="15" t="s">
        <v>4</v>
      </c>
      <c r="D13" s="16">
        <v>402.3</v>
      </c>
      <c r="E13" s="16">
        <f>E4+E5+E6+E7+E8+E10+E12</f>
        <v>201.8</v>
      </c>
      <c r="F13" s="16">
        <v>293</v>
      </c>
      <c r="G13" s="37">
        <f>G12+G10+G5+G4</f>
        <v>10.203939368414972</v>
      </c>
      <c r="H13" s="17">
        <f>H4+H5+H7+H8+H10+H12</f>
        <v>13.74</v>
      </c>
      <c r="I13" s="17">
        <f>I4+I5+I7+I8+I10+I12</f>
        <v>473.38696800000002</v>
      </c>
      <c r="K13" s="18">
        <f>D12+D10+D5+D4</f>
        <v>402.25236000000001</v>
      </c>
      <c r="L13" s="18">
        <f>F12+F10+F5+F4</f>
        <v>292.96530320656223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14.012051130228835</v>
      </c>
      <c r="E14" s="10">
        <f t="shared" ref="E14:F14" si="5">E13/$F$2*1000/10</f>
        <v>7.0286649716136678</v>
      </c>
      <c r="F14" s="10">
        <f t="shared" si="5"/>
        <v>10.205147852739369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94.746299999999991</v>
      </c>
      <c r="E15" s="8">
        <v>49.8</v>
      </c>
      <c r="F15" s="8">
        <f>D15</f>
        <v>94.746299999999991</v>
      </c>
      <c r="G15" s="10">
        <f>F15/$F$2/10*1000</f>
        <v>3.2999999999999994</v>
      </c>
      <c r="H15" s="3">
        <v>3.3</v>
      </c>
      <c r="I15" s="18">
        <f>H15*F2/1000*12</f>
        <v>113.69556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497.04629999999997</v>
      </c>
      <c r="E16" s="8">
        <f t="shared" ref="E16:G16" si="6">E15+E13</f>
        <v>251.60000000000002</v>
      </c>
      <c r="F16" s="8">
        <f t="shared" si="6"/>
        <v>387.74630000000002</v>
      </c>
      <c r="G16" s="10">
        <f t="shared" si="6"/>
        <v>13.50393936841497</v>
      </c>
      <c r="H16" s="8">
        <f t="shared" ref="H16:I16" si="7">H15+H13</f>
        <v>17.04</v>
      </c>
      <c r="I16" s="8">
        <f t="shared" si="7"/>
        <v>587.08252800000002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13.74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15.8</v>
      </c>
      <c r="E32" s="50"/>
      <c r="F32" s="51"/>
    </row>
    <row r="33" spans="1:6" ht="17.25" customHeight="1" x14ac:dyDescent="0.25">
      <c r="A33" s="4"/>
      <c r="B33" s="47" t="s">
        <v>24</v>
      </c>
      <c r="C33" s="48"/>
      <c r="D33" s="48"/>
      <c r="E33" s="48"/>
      <c r="F33" s="49"/>
    </row>
    <row r="34" spans="1:6" ht="15.75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497.04629999999997</v>
      </c>
    </row>
    <row r="37" spans="1:6" x14ac:dyDescent="0.25">
      <c r="B37" s="29" t="s">
        <v>75</v>
      </c>
      <c r="C37" s="34">
        <v>477.6</v>
      </c>
    </row>
    <row r="38" spans="1:6" x14ac:dyDescent="0.25">
      <c r="B38" s="29" t="s">
        <v>76</v>
      </c>
      <c r="C38" s="32">
        <f>F16</f>
        <v>387.74630000000002</v>
      </c>
    </row>
    <row r="39" spans="1:6" ht="25.5" x14ac:dyDescent="0.25">
      <c r="B39" s="30" t="s">
        <v>87</v>
      </c>
      <c r="C39" s="32">
        <f>C36-C38</f>
        <v>109.29999999999995</v>
      </c>
    </row>
    <row r="40" spans="1:6" x14ac:dyDescent="0.25">
      <c r="B40" s="33" t="s">
        <v>109</v>
      </c>
      <c r="C40" s="32">
        <v>165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0"/>
  <sheetViews>
    <sheetView workbookViewId="0">
      <selection activeCell="P23" sqref="P23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8554687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56</v>
      </c>
      <c r="B2" s="54"/>
      <c r="F2" s="21">
        <v>2816.6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3.5" customHeight="1" x14ac:dyDescent="0.25">
      <c r="A4" s="36" t="s">
        <v>3</v>
      </c>
      <c r="B4" s="7" t="s">
        <v>97</v>
      </c>
      <c r="C4" s="11" t="s">
        <v>4</v>
      </c>
      <c r="D4" s="13">
        <f>H4*$F$2*12/1000+9.2</f>
        <v>56.518879999999996</v>
      </c>
      <c r="E4" s="13">
        <f>42.9+22.1</f>
        <v>65</v>
      </c>
      <c r="F4" s="13">
        <f>$F$13/$D$13*D4</f>
        <v>54.625764868320111</v>
      </c>
      <c r="G4" s="10">
        <f>F4/$F$2/10*1000</f>
        <v>1.9394221709976609</v>
      </c>
      <c r="H4" s="3">
        <v>1.4</v>
      </c>
      <c r="I4" s="17">
        <f>H4*$F$2*12/1000</f>
        <v>47.31888</v>
      </c>
    </row>
    <row r="5" spans="1:12" ht="15.75" customHeight="1" x14ac:dyDescent="0.25">
      <c r="A5" s="19"/>
      <c r="B5" s="7" t="s">
        <v>57</v>
      </c>
      <c r="C5" s="5" t="s">
        <v>4</v>
      </c>
      <c r="D5" s="13"/>
      <c r="E5" s="13"/>
      <c r="F5" s="13">
        <f>25.2</f>
        <v>25.2</v>
      </c>
      <c r="G5" s="10">
        <f t="shared" ref="G5:G12" si="0">F5/$F$2/10*1000</f>
        <v>0.89469573244337142</v>
      </c>
      <c r="I5" s="17">
        <f t="shared" ref="I5:I7" si="1">H5*$F$2*12/1000</f>
        <v>0</v>
      </c>
    </row>
    <row r="6" spans="1:12" ht="41.25" customHeight="1" x14ac:dyDescent="0.25">
      <c r="A6" s="36" t="s">
        <v>5</v>
      </c>
      <c r="B6" s="7" t="s">
        <v>98</v>
      </c>
      <c r="C6" s="11" t="s">
        <v>4</v>
      </c>
      <c r="D6" s="27">
        <f>H6*$F$2*12/1000</f>
        <v>91.257840000000016</v>
      </c>
      <c r="E6" s="27"/>
      <c r="F6" s="27">
        <f>$F$13/$D$13*D6</f>
        <v>88.201134032216828</v>
      </c>
      <c r="G6" s="10">
        <f t="shared" si="0"/>
        <v>3.1314753260035797</v>
      </c>
      <c r="H6" s="3">
        <v>2.7</v>
      </c>
      <c r="I6" s="17">
        <f t="shared" si="1"/>
        <v>91.257840000000016</v>
      </c>
    </row>
    <row r="7" spans="1:12" ht="30" customHeight="1" x14ac:dyDescent="0.25">
      <c r="A7" s="19"/>
      <c r="B7" s="9" t="s">
        <v>28</v>
      </c>
      <c r="C7" s="5" t="s">
        <v>4</v>
      </c>
      <c r="D7" s="8">
        <v>3.3</v>
      </c>
      <c r="E7" s="8">
        <v>3.3</v>
      </c>
      <c r="F7" s="8">
        <v>3.3</v>
      </c>
      <c r="G7" s="10">
        <f t="shared" si="0"/>
        <v>0.11716253639139389</v>
      </c>
      <c r="I7" s="17">
        <f t="shared" si="1"/>
        <v>0</v>
      </c>
    </row>
    <row r="8" spans="1:12" ht="32.25" customHeight="1" x14ac:dyDescent="0.25">
      <c r="A8" s="19"/>
      <c r="B8" s="9" t="s">
        <v>27</v>
      </c>
      <c r="C8" s="5" t="s">
        <v>4</v>
      </c>
      <c r="D8" s="27">
        <v>4.5999999999999996</v>
      </c>
      <c r="E8" s="27">
        <v>4.5999999999999996</v>
      </c>
      <c r="F8" s="27">
        <v>4.5999999999999996</v>
      </c>
      <c r="G8" s="10">
        <f t="shared" si="0"/>
        <v>0.16331747496982177</v>
      </c>
      <c r="H8" s="3">
        <v>0.11</v>
      </c>
      <c r="I8" s="17">
        <f t="shared" ref="I8:I12" si="2">H8*$F$2*12/1000</f>
        <v>3.7179119999999992</v>
      </c>
    </row>
    <row r="9" spans="1:12" ht="25.5" x14ac:dyDescent="0.25">
      <c r="A9" s="19"/>
      <c r="B9" s="7" t="s">
        <v>8</v>
      </c>
      <c r="C9" s="11" t="s">
        <v>4</v>
      </c>
      <c r="D9" s="27">
        <v>22.5</v>
      </c>
      <c r="E9" s="27">
        <v>22.5</v>
      </c>
      <c r="F9" s="27">
        <v>22.5</v>
      </c>
      <c r="G9" s="10">
        <f t="shared" si="0"/>
        <v>0.79883547539586741</v>
      </c>
      <c r="H9" s="17">
        <v>0.89</v>
      </c>
      <c r="I9" s="17">
        <f t="shared" si="2"/>
        <v>30.081288000000001</v>
      </c>
    </row>
    <row r="10" spans="1:12" ht="31.5" hidden="1" customHeight="1" x14ac:dyDescent="0.25">
      <c r="A10" s="19"/>
      <c r="B10" s="7" t="s">
        <v>7</v>
      </c>
      <c r="C10" s="11" t="s">
        <v>4</v>
      </c>
      <c r="D10" s="27">
        <f t="shared" ref="D10" si="3">H10*$F$2*12/1000</f>
        <v>314.67055200000004</v>
      </c>
      <c r="E10" s="13"/>
      <c r="F10" s="27">
        <f t="shared" ref="F10" si="4">426.6/$D$13*D10</f>
        <v>343.23307973203788</v>
      </c>
      <c r="G10" s="10">
        <f t="shared" si="0"/>
        <v>12.186078240859118</v>
      </c>
      <c r="H10" s="3">
        <v>9.31</v>
      </c>
      <c r="I10" s="17">
        <f t="shared" si="2"/>
        <v>314.67055200000004</v>
      </c>
    </row>
    <row r="11" spans="1:12" ht="25.5" x14ac:dyDescent="0.25">
      <c r="A11" s="19" t="s">
        <v>5</v>
      </c>
      <c r="B11" s="7" t="s">
        <v>31</v>
      </c>
      <c r="C11" s="11" t="s">
        <v>4</v>
      </c>
      <c r="D11" s="27">
        <f>H11*$F$2*10/1000</f>
        <v>175.75584000000001</v>
      </c>
      <c r="E11" s="13">
        <v>91.4</v>
      </c>
      <c r="F11" s="27">
        <f>$F$13/$D$13*D11</f>
        <v>169.86885072871388</v>
      </c>
      <c r="G11" s="10">
        <f t="shared" si="0"/>
        <v>6.0309895167476348</v>
      </c>
      <c r="H11" s="3">
        <v>6.24</v>
      </c>
      <c r="I11" s="17">
        <f t="shared" si="2"/>
        <v>210.90700799999996</v>
      </c>
    </row>
    <row r="12" spans="1:12" x14ac:dyDescent="0.25">
      <c r="A12" s="19" t="s">
        <v>6</v>
      </c>
      <c r="B12" s="7" t="s">
        <v>10</v>
      </c>
      <c r="C12" s="11" t="s">
        <v>4</v>
      </c>
      <c r="D12" s="27">
        <f>H12*$F$2*10/1000</f>
        <v>67.598399999999998</v>
      </c>
      <c r="E12" s="19">
        <v>37.9</v>
      </c>
      <c r="F12" s="27">
        <f>$F$13/$D$13*D12</f>
        <v>65.334173357197642</v>
      </c>
      <c r="G12" s="10">
        <f t="shared" si="0"/>
        <v>2.3196113525952442</v>
      </c>
      <c r="H12" s="3">
        <v>2.4</v>
      </c>
      <c r="I12" s="17">
        <f t="shared" si="2"/>
        <v>81.118079999999992</v>
      </c>
    </row>
    <row r="13" spans="1:12" x14ac:dyDescent="0.25">
      <c r="A13" s="14"/>
      <c r="B13" s="14" t="s">
        <v>13</v>
      </c>
      <c r="C13" s="15" t="s">
        <v>4</v>
      </c>
      <c r="D13" s="16">
        <v>391.1</v>
      </c>
      <c r="E13" s="16">
        <f>E4+E6+E7+E8+E9+E11+E12</f>
        <v>224.70000000000002</v>
      </c>
      <c r="F13" s="16">
        <v>378</v>
      </c>
      <c r="G13" s="37">
        <f>G12+G11+G6+G4</f>
        <v>13.421498366344119</v>
      </c>
      <c r="H13" s="17">
        <f>H4+H6+H8+H9+H11+H12</f>
        <v>13.74</v>
      </c>
      <c r="I13" s="17">
        <f>I4+I6+I8+I9+I11+I12</f>
        <v>464.40100799999993</v>
      </c>
      <c r="K13" s="18">
        <f>D4+D6+D11+D12</f>
        <v>391.13095999999996</v>
      </c>
      <c r="L13" s="18">
        <f>F4+F6+F11+F12</f>
        <v>378.02992298644847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13.885535752325501</v>
      </c>
      <c r="E14" s="10">
        <f t="shared" ref="E14:F14" si="5">E13/$F$2*1000/10</f>
        <v>7.9777036142867299</v>
      </c>
      <c r="F14" s="10">
        <f t="shared" si="5"/>
        <v>13.42043598665057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92.947800000000001</v>
      </c>
      <c r="E15" s="8">
        <v>49.8</v>
      </c>
      <c r="F15" s="8">
        <f>D15</f>
        <v>92.947800000000001</v>
      </c>
      <c r="G15" s="10">
        <f>F15/$F$2/10*1000</f>
        <v>3.3</v>
      </c>
      <c r="H15" s="3">
        <v>3.3</v>
      </c>
      <c r="I15" s="18">
        <f>H15*F2/1000*12</f>
        <v>111.53735999999999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484.04780000000005</v>
      </c>
      <c r="E16" s="8">
        <f t="shared" ref="E16:I16" si="6">E15+E13</f>
        <v>274.5</v>
      </c>
      <c r="F16" s="8">
        <f t="shared" si="6"/>
        <v>470.94780000000003</v>
      </c>
      <c r="G16" s="10">
        <f t="shared" si="6"/>
        <v>16.721498366344118</v>
      </c>
      <c r="H16" s="8">
        <f t="shared" si="6"/>
        <v>17.04</v>
      </c>
      <c r="I16" s="8">
        <f t="shared" si="6"/>
        <v>575.93836799999997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13.76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15.82</v>
      </c>
      <c r="E32" s="50"/>
      <c r="F32" s="51"/>
    </row>
    <row r="33" spans="1:6" ht="17.25" customHeight="1" x14ac:dyDescent="0.25">
      <c r="A33" s="4"/>
      <c r="B33" s="47" t="s">
        <v>24</v>
      </c>
      <c r="C33" s="48"/>
      <c r="D33" s="48"/>
      <c r="E33" s="48"/>
      <c r="F33" s="49"/>
    </row>
    <row r="34" spans="1:6" ht="15.75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484.04780000000005</v>
      </c>
    </row>
    <row r="37" spans="1:6" x14ac:dyDescent="0.25">
      <c r="B37" s="29" t="s">
        <v>75</v>
      </c>
      <c r="C37" s="34">
        <v>475.8</v>
      </c>
    </row>
    <row r="38" spans="1:6" x14ac:dyDescent="0.25">
      <c r="B38" s="29" t="s">
        <v>76</v>
      </c>
      <c r="C38" s="32">
        <f>F16</f>
        <v>470.94780000000003</v>
      </c>
    </row>
    <row r="39" spans="1:6" ht="25.5" x14ac:dyDescent="0.25">
      <c r="B39" s="30" t="s">
        <v>89</v>
      </c>
      <c r="C39" s="32">
        <f>C36-C38</f>
        <v>13.100000000000023</v>
      </c>
    </row>
    <row r="40" spans="1:6" x14ac:dyDescent="0.25">
      <c r="B40" s="33" t="s">
        <v>109</v>
      </c>
      <c r="C40" s="32">
        <v>94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1"/>
  <sheetViews>
    <sheetView workbookViewId="0">
      <selection activeCell="D16" sqref="D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570312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59</v>
      </c>
      <c r="B2" s="54"/>
      <c r="F2" s="21">
        <v>1927.54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3.5" customHeight="1" x14ac:dyDescent="0.25">
      <c r="A4" s="36" t="s">
        <v>3</v>
      </c>
      <c r="B4" s="7" t="s">
        <v>97</v>
      </c>
      <c r="C4" s="11" t="s">
        <v>4</v>
      </c>
      <c r="D4" s="13">
        <f>H4*$F$2*10/1000</f>
        <v>26.985559999999996</v>
      </c>
      <c r="E4" s="27">
        <f t="shared" ref="E4" si="0">I4*$F$2*10/1000</f>
        <v>624.18895586879978</v>
      </c>
      <c r="F4" s="27">
        <f>$F$14/$D$14*D4</f>
        <v>26.911996456156292</v>
      </c>
      <c r="G4" s="10">
        <f>F4/$F$2/10*1000</f>
        <v>1.3961835529304862</v>
      </c>
      <c r="H4" s="3">
        <v>1.4</v>
      </c>
      <c r="I4" s="17">
        <f>H4*$F$2*12/1000</f>
        <v>32.382671999999992</v>
      </c>
    </row>
    <row r="5" spans="1:12" x14ac:dyDescent="0.25">
      <c r="A5" s="40"/>
      <c r="B5" s="7" t="s">
        <v>110</v>
      </c>
      <c r="C5" s="11"/>
      <c r="D5" s="27"/>
      <c r="E5" s="27"/>
      <c r="F5" s="27">
        <v>20.3</v>
      </c>
      <c r="G5" s="10">
        <f t="shared" ref="G5:G13" si="1">F5/$F$2/10*1000</f>
        <v>1.0531558359359598</v>
      </c>
      <c r="I5" s="17"/>
    </row>
    <row r="6" spans="1:12" ht="41.25" customHeight="1" x14ac:dyDescent="0.25">
      <c r="A6" s="36" t="s">
        <v>5</v>
      </c>
      <c r="B6" s="7" t="s">
        <v>98</v>
      </c>
      <c r="C6" s="11" t="s">
        <v>4</v>
      </c>
      <c r="D6" s="27">
        <f>H6*$F$2*10/1000+D7+D8+D9+D10+50</f>
        <v>230.214778</v>
      </c>
      <c r="E6" s="27"/>
      <c r="F6" s="27">
        <f>$F$14/$D$14*D6</f>
        <v>229.58720477510224</v>
      </c>
      <c r="G6" s="10">
        <f t="shared" si="1"/>
        <v>11.910891850498681</v>
      </c>
      <c r="H6" s="3">
        <v>2.72</v>
      </c>
      <c r="I6" s="17">
        <f t="shared" ref="I6:I7" si="2">H6*$F$2*12/1000</f>
        <v>62.914905599999997</v>
      </c>
    </row>
    <row r="7" spans="1:12" ht="30" customHeight="1" x14ac:dyDescent="0.25">
      <c r="A7" s="19"/>
      <c r="B7" s="9" t="s">
        <v>28</v>
      </c>
      <c r="C7" s="5" t="s">
        <v>4</v>
      </c>
      <c r="D7" s="8">
        <v>9.3000000000000007</v>
      </c>
      <c r="E7" s="4">
        <v>4.5</v>
      </c>
      <c r="F7" s="27">
        <f t="shared" ref="F7:F13" si="3">$F$14/$D$14*D7</f>
        <v>9.2746478873239457</v>
      </c>
      <c r="G7" s="10">
        <f t="shared" si="1"/>
        <v>0.48116500240326765</v>
      </c>
      <c r="I7" s="17">
        <f t="shared" si="2"/>
        <v>0</v>
      </c>
    </row>
    <row r="8" spans="1:12" ht="32.25" customHeight="1" x14ac:dyDescent="0.25">
      <c r="A8" s="19"/>
      <c r="B8" s="9" t="s">
        <v>27</v>
      </c>
      <c r="C8" s="5" t="s">
        <v>4</v>
      </c>
      <c r="D8" s="27">
        <f>H8*$F$2*10/1000</f>
        <v>1.7347860000000002</v>
      </c>
      <c r="E8" s="8">
        <v>3</v>
      </c>
      <c r="F8" s="27">
        <f t="shared" si="3"/>
        <v>1.7300569150386191</v>
      </c>
      <c r="G8" s="10">
        <f t="shared" si="1"/>
        <v>8.975465697410269E-2</v>
      </c>
      <c r="H8" s="3">
        <v>0.09</v>
      </c>
      <c r="I8" s="17">
        <f t="shared" ref="I8:I13" si="4">H8*$F$2*12/1000</f>
        <v>2.0817432</v>
      </c>
    </row>
    <row r="9" spans="1:12" ht="25.5" x14ac:dyDescent="0.25">
      <c r="A9" s="19"/>
      <c r="B9" s="7" t="s">
        <v>8</v>
      </c>
      <c r="C9" s="11" t="s">
        <v>4</v>
      </c>
      <c r="D9" s="27">
        <f>H9*$F$2*10/1000</f>
        <v>25</v>
      </c>
      <c r="E9" s="13"/>
      <c r="F9" s="27">
        <f t="shared" si="3"/>
        <v>24.931849159472968</v>
      </c>
      <c r="G9" s="10">
        <f t="shared" si="1"/>
        <v>1.2934543075356657</v>
      </c>
      <c r="H9" s="17">
        <f>30/12/F2*1000</f>
        <v>1.2969899457339407</v>
      </c>
      <c r="I9" s="17">
        <f t="shared" si="4"/>
        <v>30</v>
      </c>
    </row>
    <row r="10" spans="1:12" ht="31.5" customHeight="1" x14ac:dyDescent="0.25">
      <c r="A10" s="19"/>
      <c r="B10" s="7" t="s">
        <v>7</v>
      </c>
      <c r="C10" s="11" t="s">
        <v>4</v>
      </c>
      <c r="D10" s="27">
        <f>H10*$F$2*10/1000</f>
        <v>91.750903999999991</v>
      </c>
      <c r="E10" s="13"/>
      <c r="F10" s="27">
        <f t="shared" si="3"/>
        <v>91.500787950931397</v>
      </c>
      <c r="G10" s="10">
        <f t="shared" si="1"/>
        <v>4.7470240799636532</v>
      </c>
      <c r="H10" s="3">
        <v>4.76</v>
      </c>
      <c r="I10" s="17">
        <f t="shared" si="4"/>
        <v>110.10108479999998</v>
      </c>
    </row>
    <row r="11" spans="1:12" ht="25.5" x14ac:dyDescent="0.25">
      <c r="A11" s="19" t="s">
        <v>5</v>
      </c>
      <c r="B11" s="7" t="s">
        <v>31</v>
      </c>
      <c r="C11" s="11" t="s">
        <v>4</v>
      </c>
      <c r="D11" s="27">
        <f>H11*$F$2*10/1000+20-3.5</f>
        <v>136.77849600000002</v>
      </c>
      <c r="E11" s="13">
        <v>91.4</v>
      </c>
      <c r="F11" s="27">
        <f t="shared" si="3"/>
        <v>136.40563322126309</v>
      </c>
      <c r="G11" s="10">
        <f t="shared" si="1"/>
        <v>7.0766693931779932</v>
      </c>
      <c r="H11" s="3">
        <v>6.24</v>
      </c>
      <c r="I11" s="17">
        <f t="shared" si="4"/>
        <v>144.33419519999998</v>
      </c>
    </row>
    <row r="12" spans="1:12" x14ac:dyDescent="0.25">
      <c r="A12" s="19"/>
      <c r="B12" s="9" t="s">
        <v>9</v>
      </c>
      <c r="C12" s="5" t="s">
        <v>4</v>
      </c>
      <c r="D12" s="8">
        <v>2</v>
      </c>
      <c r="E12" s="4"/>
      <c r="F12" s="27">
        <f>$F$14/$D$14*D12</f>
        <v>1.9945479327578375</v>
      </c>
      <c r="G12" s="10">
        <f t="shared" si="1"/>
        <v>0.10347634460285325</v>
      </c>
      <c r="I12" s="17"/>
    </row>
    <row r="13" spans="1:12" x14ac:dyDescent="0.25">
      <c r="A13" s="19" t="s">
        <v>6</v>
      </c>
      <c r="B13" s="7" t="s">
        <v>10</v>
      </c>
      <c r="C13" s="11" t="s">
        <v>4</v>
      </c>
      <c r="D13" s="13">
        <f>H13*$F$2*10/1000</f>
        <v>46.26095999999999</v>
      </c>
      <c r="E13" s="19">
        <v>37.9</v>
      </c>
      <c r="F13" s="27">
        <f t="shared" si="3"/>
        <v>46.134851067696495</v>
      </c>
      <c r="G13" s="10">
        <f t="shared" si="1"/>
        <v>2.3934575193094045</v>
      </c>
      <c r="H13" s="3">
        <v>2.4</v>
      </c>
      <c r="I13" s="17">
        <f t="shared" si="4"/>
        <v>55.513151999999998</v>
      </c>
    </row>
    <row r="14" spans="1:12" x14ac:dyDescent="0.25">
      <c r="A14" s="14"/>
      <c r="B14" s="14" t="s">
        <v>13</v>
      </c>
      <c r="C14" s="15" t="s">
        <v>4</v>
      </c>
      <c r="D14" s="16">
        <v>440.2</v>
      </c>
      <c r="E14" s="16">
        <f>SUM(E4:E13)</f>
        <v>760.98895586879974</v>
      </c>
      <c r="F14" s="16">
        <v>439</v>
      </c>
      <c r="G14" s="37">
        <f>G13+G11+G6+G4</f>
        <v>22.777202315916568</v>
      </c>
      <c r="H14" s="17">
        <f>SUM(H4:H13)</f>
        <v>18.90698994573394</v>
      </c>
      <c r="I14" s="17">
        <f>SUM(I4:I13)</f>
        <v>437.32775279999998</v>
      </c>
      <c r="K14" s="18">
        <f>D13+D11+D6+D4</f>
        <v>440.23979400000002</v>
      </c>
      <c r="L14" s="18">
        <f>F4+F6+F11+F13</f>
        <v>439.03968552021814</v>
      </c>
    </row>
    <row r="15" spans="1:12" ht="19.5" customHeight="1" x14ac:dyDescent="0.25">
      <c r="A15" s="4"/>
      <c r="B15" s="9" t="s">
        <v>12</v>
      </c>
      <c r="C15" s="5" t="s">
        <v>23</v>
      </c>
      <c r="D15" s="10">
        <f>D14/$F$2*1000/10</f>
        <v>22.837398964483228</v>
      </c>
      <c r="E15" s="10">
        <f t="shared" ref="E15" si="5">E14/$F$2*1000/12</f>
        <v>32.899834152546759</v>
      </c>
      <c r="F15" s="10">
        <f>F14/$F$2*1000/10</f>
        <v>22.775143447087999</v>
      </c>
      <c r="G15" s="10"/>
      <c r="I15" s="18"/>
    </row>
    <row r="16" spans="1:12" ht="18.75" customHeight="1" x14ac:dyDescent="0.25">
      <c r="A16" s="4"/>
      <c r="B16" s="9" t="s">
        <v>24</v>
      </c>
      <c r="C16" s="5" t="s">
        <v>23</v>
      </c>
      <c r="D16" s="8">
        <f>F2*H16/1000*10</f>
        <v>63.608819999999994</v>
      </c>
      <c r="E16" s="8">
        <v>49.8</v>
      </c>
      <c r="F16" s="27">
        <f>D16</f>
        <v>63.608819999999994</v>
      </c>
      <c r="G16" s="10">
        <f>F16/$F$2/10*1000</f>
        <v>3.2999999999999994</v>
      </c>
      <c r="H16" s="3">
        <v>3.3</v>
      </c>
      <c r="I16" s="18">
        <f>H16*F2/1000*12</f>
        <v>76.330583999999988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503.80881999999997</v>
      </c>
      <c r="E17" s="8">
        <f t="shared" ref="E17:G17" si="6">E16+E14</f>
        <v>810.78895586879969</v>
      </c>
      <c r="F17" s="8">
        <f t="shared" si="6"/>
        <v>502.60881999999998</v>
      </c>
      <c r="G17" s="10">
        <f t="shared" si="6"/>
        <v>26.077202315916569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18.91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0">
        <v>25.24</v>
      </c>
      <c r="E33" s="50"/>
      <c r="F33" s="51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x14ac:dyDescent="0.25">
      <c r="B37" s="29" t="s">
        <v>74</v>
      </c>
      <c r="C37" s="32">
        <f>D17</f>
        <v>503.80881999999997</v>
      </c>
    </row>
    <row r="38" spans="1:6" x14ac:dyDescent="0.25">
      <c r="B38" s="29" t="s">
        <v>75</v>
      </c>
      <c r="C38" s="32">
        <v>468.6</v>
      </c>
    </row>
    <row r="39" spans="1:6" x14ac:dyDescent="0.25">
      <c r="B39" s="29" t="s">
        <v>76</v>
      </c>
      <c r="C39" s="32">
        <f>F17</f>
        <v>502.60881999999998</v>
      </c>
    </row>
    <row r="40" spans="1:6" ht="25.5" x14ac:dyDescent="0.25">
      <c r="B40" s="30" t="s">
        <v>90</v>
      </c>
      <c r="C40" s="32">
        <f>C37-C39</f>
        <v>1.1999999999999886</v>
      </c>
    </row>
    <row r="41" spans="1:6" x14ac:dyDescent="0.25">
      <c r="B41" s="33" t="s">
        <v>109</v>
      </c>
      <c r="C41" s="34">
        <v>100.4</v>
      </c>
    </row>
  </sheetData>
  <mergeCells count="20">
    <mergeCell ref="D35:F35"/>
    <mergeCell ref="A1:G1"/>
    <mergeCell ref="D27:F27"/>
    <mergeCell ref="B28:F28"/>
    <mergeCell ref="D29:F29"/>
    <mergeCell ref="D30:F30"/>
    <mergeCell ref="B31:F31"/>
    <mergeCell ref="D22:F22"/>
    <mergeCell ref="D23:F23"/>
    <mergeCell ref="B24:F24"/>
    <mergeCell ref="D25:F25"/>
    <mergeCell ref="D26:F26"/>
    <mergeCell ref="A2:B2"/>
    <mergeCell ref="B18:F18"/>
    <mergeCell ref="D19:F19"/>
    <mergeCell ref="D20:F20"/>
    <mergeCell ref="B21:F21"/>
    <mergeCell ref="D32:F32"/>
    <mergeCell ref="D33:F33"/>
    <mergeCell ref="B34:F34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40"/>
  <sheetViews>
    <sheetView workbookViewId="0">
      <selection activeCell="R8" sqref="R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570312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60</v>
      </c>
      <c r="B2" s="54"/>
      <c r="F2" s="21">
        <v>4332.53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2" customHeight="1" x14ac:dyDescent="0.25">
      <c r="A4" s="36" t="s">
        <v>3</v>
      </c>
      <c r="B4" s="7" t="s">
        <v>97</v>
      </c>
      <c r="C4" s="11" t="s">
        <v>4</v>
      </c>
      <c r="D4" s="13">
        <f>H4*$F$2*10/1000</f>
        <v>60.655419999999999</v>
      </c>
      <c r="E4" s="13">
        <f>42.9+22.1</f>
        <v>65</v>
      </c>
      <c r="F4" s="13">
        <f>$F$13/$D$13*D4</f>
        <v>61.983640875912414</v>
      </c>
      <c r="G4" s="10">
        <f>F4/$F$2/10*1000</f>
        <v>1.4306569343065696</v>
      </c>
      <c r="H4" s="3">
        <v>1.4</v>
      </c>
      <c r="I4" s="17">
        <f>H4*$F$2*12/1000</f>
        <v>72.786503999999979</v>
      </c>
    </row>
    <row r="5" spans="1:12" ht="41.25" customHeight="1" x14ac:dyDescent="0.25">
      <c r="A5" s="36" t="s">
        <v>5</v>
      </c>
      <c r="B5" s="7" t="s">
        <v>98</v>
      </c>
      <c r="C5" s="11" t="s">
        <v>4</v>
      </c>
      <c r="D5" s="27">
        <f>H5*$F$2*10/1000+50</f>
        <v>167.84481600000001</v>
      </c>
      <c r="E5" s="13"/>
      <c r="F5" s="27">
        <f>$F$13/$D$13*D5</f>
        <v>171.52024992700731</v>
      </c>
      <c r="G5" s="10">
        <f t="shared" ref="G5:G12" si="0">F5/$F$2/10*1000</f>
        <v>3.958893531654883</v>
      </c>
      <c r="H5" s="3">
        <v>2.72</v>
      </c>
      <c r="I5" s="17">
        <f t="shared" ref="I5:I7" si="1">H5*$F$2*12/1000</f>
        <v>141.41377920000002</v>
      </c>
    </row>
    <row r="6" spans="1:12" ht="30" customHeight="1" x14ac:dyDescent="0.25">
      <c r="A6" s="19"/>
      <c r="B6" s="9" t="s">
        <v>28</v>
      </c>
      <c r="C6" s="5" t="s">
        <v>4</v>
      </c>
      <c r="D6" s="8">
        <v>21.1</v>
      </c>
      <c r="E6" s="4">
        <v>4.5</v>
      </c>
      <c r="F6" s="27">
        <f t="shared" ref="F6:F12" si="2">$F$13/$D$13*D6</f>
        <v>21.56204379562044</v>
      </c>
      <c r="G6" s="10">
        <f t="shared" si="0"/>
        <v>0.49767788787660888</v>
      </c>
      <c r="I6" s="17">
        <f t="shared" si="1"/>
        <v>0</v>
      </c>
    </row>
    <row r="7" spans="1:12" ht="32.25" customHeight="1" x14ac:dyDescent="0.25">
      <c r="A7" s="19"/>
      <c r="B7" s="9" t="s">
        <v>27</v>
      </c>
      <c r="C7" s="5" t="s">
        <v>4</v>
      </c>
      <c r="D7" s="27">
        <f>H7*$F$2*10/1000</f>
        <v>7.7985539999999993</v>
      </c>
      <c r="E7" s="8">
        <v>3</v>
      </c>
      <c r="F7" s="27">
        <f t="shared" si="2"/>
        <v>7.9693252554744527</v>
      </c>
      <c r="G7" s="10">
        <f t="shared" si="0"/>
        <v>0.1839416058394161</v>
      </c>
      <c r="H7" s="3">
        <v>0.18</v>
      </c>
      <c r="I7" s="17">
        <f t="shared" si="1"/>
        <v>9.3582647999999988</v>
      </c>
    </row>
    <row r="8" spans="1:12" ht="25.5" x14ac:dyDescent="0.25">
      <c r="A8" s="19"/>
      <c r="B8" s="7" t="s">
        <v>8</v>
      </c>
      <c r="C8" s="11" t="s">
        <v>4</v>
      </c>
      <c r="D8" s="27">
        <f>H8*$F$2*10/1000</f>
        <v>25.000000000000004</v>
      </c>
      <c r="E8" s="13"/>
      <c r="F8" s="27">
        <f t="shared" si="2"/>
        <v>25.547445255474457</v>
      </c>
      <c r="G8" s="10">
        <f t="shared" si="0"/>
        <v>0.58966574392963145</v>
      </c>
      <c r="H8" s="17">
        <f>30/12/F2*1000</f>
        <v>0.57703004941685354</v>
      </c>
      <c r="I8" s="17">
        <f t="shared" ref="I8:I12" si="3">H8*$F$2*12/1000</f>
        <v>30.000000000000007</v>
      </c>
    </row>
    <row r="9" spans="1:12" ht="31.5" hidden="1" customHeight="1" x14ac:dyDescent="0.25">
      <c r="A9" s="19"/>
      <c r="B9" s="7" t="s">
        <v>7</v>
      </c>
      <c r="C9" s="11" t="s">
        <v>4</v>
      </c>
      <c r="D9" s="27">
        <f t="shared" ref="D9" si="4">H9*$F$2*12/1000</f>
        <v>0</v>
      </c>
      <c r="E9" s="13"/>
      <c r="F9" s="27">
        <f t="shared" si="2"/>
        <v>0</v>
      </c>
      <c r="G9" s="10">
        <f t="shared" si="0"/>
        <v>0</v>
      </c>
      <c r="I9" s="17">
        <f t="shared" si="3"/>
        <v>0</v>
      </c>
    </row>
    <row r="10" spans="1:12" ht="25.5" x14ac:dyDescent="0.25">
      <c r="A10" s="19" t="s">
        <v>5</v>
      </c>
      <c r="B10" s="7" t="s">
        <v>31</v>
      </c>
      <c r="C10" s="11" t="s">
        <v>4</v>
      </c>
      <c r="D10" s="27">
        <f>H10*$F$2*10/1000</f>
        <v>270.34987199999995</v>
      </c>
      <c r="E10" s="13">
        <v>91.4</v>
      </c>
      <c r="F10" s="27">
        <f t="shared" si="2"/>
        <v>276.26994218978098</v>
      </c>
      <c r="G10" s="10">
        <f t="shared" si="0"/>
        <v>6.3766423357664213</v>
      </c>
      <c r="H10" s="3">
        <v>6.24</v>
      </c>
      <c r="I10" s="17">
        <f t="shared" si="3"/>
        <v>324.41984639999998</v>
      </c>
    </row>
    <row r="11" spans="1:12" x14ac:dyDescent="0.25">
      <c r="A11" s="19"/>
      <c r="B11" s="9" t="s">
        <v>9</v>
      </c>
      <c r="C11" s="5" t="s">
        <v>4</v>
      </c>
      <c r="D11" s="8">
        <v>8.6</v>
      </c>
      <c r="E11" s="4"/>
      <c r="F11" s="27">
        <f t="shared" si="2"/>
        <v>8.7883211678832112</v>
      </c>
      <c r="G11" s="10">
        <f t="shared" si="0"/>
        <v>0.20284501591179313</v>
      </c>
      <c r="I11" s="17"/>
    </row>
    <row r="12" spans="1:12" x14ac:dyDescent="0.25">
      <c r="A12" s="19" t="s">
        <v>6</v>
      </c>
      <c r="B12" s="7" t="s">
        <v>10</v>
      </c>
      <c r="C12" s="11" t="s">
        <v>4</v>
      </c>
      <c r="D12" s="27">
        <f>H12*$F$2*10/1000</f>
        <v>103.98071999999999</v>
      </c>
      <c r="E12" s="19">
        <v>37.9</v>
      </c>
      <c r="F12" s="27">
        <f t="shared" si="2"/>
        <v>106.2576700729927</v>
      </c>
      <c r="G12" s="10">
        <f t="shared" si="0"/>
        <v>2.4525547445255471</v>
      </c>
      <c r="H12" s="3">
        <v>2.4</v>
      </c>
      <c r="I12" s="17">
        <f t="shared" si="3"/>
        <v>124.77686399999997</v>
      </c>
    </row>
    <row r="13" spans="1:12" x14ac:dyDescent="0.25">
      <c r="A13" s="14"/>
      <c r="B13" s="14" t="s">
        <v>13</v>
      </c>
      <c r="C13" s="15" t="s">
        <v>4</v>
      </c>
      <c r="D13" s="16">
        <v>602.79999999999995</v>
      </c>
      <c r="E13" s="16">
        <f t="shared" ref="E13" si="5">SUM(E4:E12)</f>
        <v>201.8</v>
      </c>
      <c r="F13" s="16">
        <v>616</v>
      </c>
      <c r="G13" s="37">
        <f>G12+G10+G5+G4</f>
        <v>14.218747546253422</v>
      </c>
      <c r="H13" s="17">
        <f>SUM(H4:H12)</f>
        <v>13.517030049416855</v>
      </c>
      <c r="I13" s="17">
        <f>SUM(I4:I12)</f>
        <v>702.75525839999989</v>
      </c>
      <c r="K13" s="18">
        <f>D12+D10+D5+D4</f>
        <v>602.830828</v>
      </c>
      <c r="L13" s="18">
        <f>F4+F5+F10+F12</f>
        <v>616.03150306569341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13.913348551539169</v>
      </c>
      <c r="E14" s="10">
        <f t="shared" ref="E14" si="6">E13/$F$2*1000/12</f>
        <v>3.8814887990773683</v>
      </c>
      <c r="F14" s="10">
        <f>F13/$F$2*1000/10</f>
        <v>14.218020417631269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142.97349</v>
      </c>
      <c r="E15" s="8">
        <f t="shared" ref="E15" si="7">G2*I15/1000*10</f>
        <v>0</v>
      </c>
      <c r="F15" s="8">
        <f>D15</f>
        <v>142.97349</v>
      </c>
      <c r="G15" s="10">
        <f>F15/$F$2/10*1000</f>
        <v>3.3</v>
      </c>
      <c r="H15" s="3">
        <v>3.3</v>
      </c>
      <c r="I15" s="18">
        <f>H15*F2/1000*12</f>
        <v>171.56818799999999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745.77348999999992</v>
      </c>
      <c r="E16" s="8">
        <f t="shared" ref="E16:F16" si="8">E15+E13</f>
        <v>201.8</v>
      </c>
      <c r="F16" s="8">
        <f t="shared" si="8"/>
        <v>758.97348999999997</v>
      </c>
      <c r="G16" s="10">
        <f t="shared" ref="G16" si="9">G15+G13</f>
        <v>17.518747546253422</v>
      </c>
      <c r="H16" s="8">
        <f t="shared" ref="H16" si="10">H15+H13</f>
        <v>16.817030049416854</v>
      </c>
      <c r="I16" s="8">
        <f t="shared" ref="I16" si="11">I15+I13</f>
        <v>874.32344639999985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13.52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15.55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745.77348999999992</v>
      </c>
    </row>
    <row r="37" spans="1:6" x14ac:dyDescent="0.25">
      <c r="B37" s="29" t="s">
        <v>75</v>
      </c>
      <c r="C37" s="32">
        <v>666.5</v>
      </c>
    </row>
    <row r="38" spans="1:6" x14ac:dyDescent="0.25">
      <c r="B38" s="29" t="s">
        <v>76</v>
      </c>
      <c r="C38" s="32">
        <f>F16</f>
        <v>758.97348999999997</v>
      </c>
    </row>
    <row r="39" spans="1:6" ht="25.5" x14ac:dyDescent="0.25">
      <c r="B39" s="30" t="s">
        <v>91</v>
      </c>
      <c r="C39" s="32">
        <f>C36-C38</f>
        <v>-13.200000000000045</v>
      </c>
    </row>
    <row r="40" spans="1:6" x14ac:dyDescent="0.25">
      <c r="B40" s="33" t="s">
        <v>109</v>
      </c>
      <c r="C40" s="34">
        <v>250.7</v>
      </c>
    </row>
  </sheetData>
  <mergeCells count="20">
    <mergeCell ref="D34:F34"/>
    <mergeCell ref="A1:G1"/>
    <mergeCell ref="D26:F26"/>
    <mergeCell ref="B27:F27"/>
    <mergeCell ref="D28:F28"/>
    <mergeCell ref="D29:F29"/>
    <mergeCell ref="B30:F30"/>
    <mergeCell ref="D21:F21"/>
    <mergeCell ref="D22:F22"/>
    <mergeCell ref="B23:F23"/>
    <mergeCell ref="D24:F24"/>
    <mergeCell ref="D25:F25"/>
    <mergeCell ref="A2:B2"/>
    <mergeCell ref="B17:F17"/>
    <mergeCell ref="D18:F18"/>
    <mergeCell ref="D19:F19"/>
    <mergeCell ref="B20:F20"/>
    <mergeCell ref="D31:F31"/>
    <mergeCell ref="D32:F32"/>
    <mergeCell ref="B33:F33"/>
  </mergeCells>
  <pageMargins left="0.70866141732283472" right="0.19685039370078741" top="0.55118110236220474" bottom="0.74803149606299213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40"/>
  <sheetViews>
    <sheetView topLeftCell="A7" workbookViewId="0">
      <selection activeCell="P14" sqref="P14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28515625" style="3" customWidth="1"/>
    <col min="8" max="8" width="10" style="3" hidden="1" customWidth="1"/>
    <col min="9" max="9" width="9.140625" style="3" hidden="1" customWidth="1"/>
    <col min="10" max="10" width="9.140625" style="3"/>
    <col min="11" max="11" width="9.42578125" style="3" hidden="1" customWidth="1"/>
    <col min="12" max="12" width="8.85546875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61</v>
      </c>
      <c r="B2" s="54"/>
      <c r="F2" s="21">
        <v>1906.74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39.75" customHeight="1" x14ac:dyDescent="0.25">
      <c r="A4" s="36" t="s">
        <v>3</v>
      </c>
      <c r="B4" s="7" t="s">
        <v>97</v>
      </c>
      <c r="C4" s="11" t="s">
        <v>4</v>
      </c>
      <c r="D4" s="13">
        <f>H4*$F$2*10/1000</f>
        <v>26.694359999999996</v>
      </c>
      <c r="E4" s="13">
        <f>42.9+22.1</f>
        <v>65</v>
      </c>
      <c r="F4" s="13">
        <f>$F$13/$D$13*D4</f>
        <v>28.57989043381534</v>
      </c>
      <c r="G4" s="10">
        <f>F4/$F$2/10*1000</f>
        <v>1.4988876529477191</v>
      </c>
      <c r="H4" s="3">
        <v>1.4</v>
      </c>
      <c r="I4" s="17">
        <f>H4*$F$2*12/1000</f>
        <v>32.033231999999998</v>
      </c>
    </row>
    <row r="5" spans="1:12" ht="42" customHeight="1" x14ac:dyDescent="0.25">
      <c r="A5" s="36" t="s">
        <v>5</v>
      </c>
      <c r="B5" s="7" t="s">
        <v>112</v>
      </c>
      <c r="C5" s="11" t="s">
        <v>4</v>
      </c>
      <c r="D5" s="27">
        <f>H5*$F$2*10/1000+D9+35.5</f>
        <v>168.20910400000002</v>
      </c>
      <c r="E5" s="27"/>
      <c r="F5" s="27">
        <f t="shared" ref="F5:F12" si="0">$F$13/$D$13*D5</f>
        <v>180.09039221357062</v>
      </c>
      <c r="G5" s="10">
        <f t="shared" ref="G5:G12" si="1">F5/$F$2/10*1000</f>
        <v>9.4449370241129174</v>
      </c>
      <c r="H5" s="3">
        <v>2.72</v>
      </c>
      <c r="I5" s="17">
        <f t="shared" ref="I5" si="2">H5*$F$2*12/1000</f>
        <v>62.2359936</v>
      </c>
    </row>
    <row r="6" spans="1:12" ht="30" customHeight="1" x14ac:dyDescent="0.25">
      <c r="A6" s="19"/>
      <c r="B6" s="9" t="s">
        <v>28</v>
      </c>
      <c r="C6" s="5" t="s">
        <v>4</v>
      </c>
      <c r="D6" s="8">
        <v>9.3000000000000007</v>
      </c>
      <c r="E6" s="4">
        <v>4.5</v>
      </c>
      <c r="F6" s="27">
        <f t="shared" si="0"/>
        <v>9.956896551724137</v>
      </c>
      <c r="G6" s="10">
        <f t="shared" si="1"/>
        <v>0.5221947696971867</v>
      </c>
      <c r="I6" s="17"/>
    </row>
    <row r="7" spans="1:12" ht="32.25" customHeight="1" x14ac:dyDescent="0.25">
      <c r="A7" s="19"/>
      <c r="B7" s="9" t="s">
        <v>27</v>
      </c>
      <c r="C7" s="5" t="s">
        <v>4</v>
      </c>
      <c r="D7" s="27">
        <f>H7*$F$2*10/1000</f>
        <v>1.7160659999999999</v>
      </c>
      <c r="E7" s="8">
        <v>3</v>
      </c>
      <c r="F7" s="27">
        <f t="shared" si="0"/>
        <v>1.8372786707452722</v>
      </c>
      <c r="G7" s="10">
        <f t="shared" si="1"/>
        <v>9.6357063403781973E-2</v>
      </c>
      <c r="H7" s="3">
        <v>0.09</v>
      </c>
      <c r="I7" s="17">
        <f t="shared" ref="I7:I12" si="3">H7*$F$2*12/1000</f>
        <v>2.0592791999999998</v>
      </c>
    </row>
    <row r="8" spans="1:12" ht="25.5" x14ac:dyDescent="0.25">
      <c r="A8" s="19"/>
      <c r="B8" s="7" t="s">
        <v>8</v>
      </c>
      <c r="C8" s="11" t="s">
        <v>4</v>
      </c>
      <c r="D8" s="27">
        <f t="shared" ref="D8:D9" si="4">H8*$F$2*10/1000</f>
        <v>16.20729</v>
      </c>
      <c r="E8" s="13"/>
      <c r="F8" s="27">
        <f t="shared" si="0"/>
        <v>17.352076334816459</v>
      </c>
      <c r="G8" s="10">
        <f t="shared" si="1"/>
        <v>0.91003893214682974</v>
      </c>
      <c r="H8" s="17">
        <v>0.85</v>
      </c>
      <c r="I8" s="17">
        <f t="shared" si="3"/>
        <v>19.448747999999998</v>
      </c>
    </row>
    <row r="9" spans="1:12" ht="31.5" customHeight="1" x14ac:dyDescent="0.25">
      <c r="A9" s="19"/>
      <c r="B9" s="7" t="s">
        <v>7</v>
      </c>
      <c r="C9" s="11" t="s">
        <v>4</v>
      </c>
      <c r="D9" s="27">
        <f t="shared" si="4"/>
        <v>80.845776000000015</v>
      </c>
      <c r="E9" s="13"/>
      <c r="F9" s="27">
        <f t="shared" si="0"/>
        <v>86.556239599555056</v>
      </c>
      <c r="G9" s="10">
        <f t="shared" si="1"/>
        <v>4.5394883203559502</v>
      </c>
      <c r="H9" s="3">
        <v>4.24</v>
      </c>
      <c r="I9" s="17">
        <f t="shared" si="3"/>
        <v>97.014931200000007</v>
      </c>
    </row>
    <row r="10" spans="1:12" ht="25.5" x14ac:dyDescent="0.25">
      <c r="A10" s="36" t="s">
        <v>6</v>
      </c>
      <c r="B10" s="7" t="s">
        <v>31</v>
      </c>
      <c r="C10" s="11" t="s">
        <v>4</v>
      </c>
      <c r="D10" s="27">
        <f>H10*$F$2*10/1000</f>
        <v>118.980576</v>
      </c>
      <c r="E10" s="13">
        <v>91.4</v>
      </c>
      <c r="F10" s="27">
        <f t="shared" si="0"/>
        <v>127.38465450500554</v>
      </c>
      <c r="G10" s="10">
        <f t="shared" si="1"/>
        <v>6.6807563959955489</v>
      </c>
      <c r="H10" s="3">
        <v>6.24</v>
      </c>
      <c r="I10" s="17">
        <f t="shared" si="3"/>
        <v>142.77669119999999</v>
      </c>
    </row>
    <row r="11" spans="1:12" x14ac:dyDescent="0.25">
      <c r="A11" s="19"/>
      <c r="B11" s="9" t="s">
        <v>9</v>
      </c>
      <c r="C11" s="5" t="s">
        <v>4</v>
      </c>
      <c r="D11" s="8">
        <v>1.6</v>
      </c>
      <c r="E11" s="4"/>
      <c r="F11" s="27">
        <f t="shared" si="0"/>
        <v>1.7130144605116795</v>
      </c>
      <c r="G11" s="10">
        <f t="shared" si="1"/>
        <v>8.9839960378010619E-2</v>
      </c>
      <c r="I11" s="17"/>
    </row>
    <row r="12" spans="1:12" x14ac:dyDescent="0.25">
      <c r="A12" s="36" t="s">
        <v>99</v>
      </c>
      <c r="B12" s="7" t="s">
        <v>10</v>
      </c>
      <c r="C12" s="11" t="s">
        <v>4</v>
      </c>
      <c r="D12" s="27">
        <f>H12*$F$2*10/1000</f>
        <v>45.761759999999995</v>
      </c>
      <c r="E12" s="19">
        <v>37.9</v>
      </c>
      <c r="F12" s="27">
        <f t="shared" si="0"/>
        <v>48.994097886540587</v>
      </c>
      <c r="G12" s="10">
        <f t="shared" si="1"/>
        <v>2.5695216907675187</v>
      </c>
      <c r="H12" s="3">
        <v>2.4</v>
      </c>
      <c r="I12" s="17">
        <f t="shared" si="3"/>
        <v>54.914111999999996</v>
      </c>
    </row>
    <row r="13" spans="1:12" x14ac:dyDescent="0.25">
      <c r="A13" s="14"/>
      <c r="B13" s="14" t="s">
        <v>13</v>
      </c>
      <c r="C13" s="15" t="s">
        <v>4</v>
      </c>
      <c r="D13" s="16">
        <v>359.6</v>
      </c>
      <c r="E13" s="16">
        <f t="shared" ref="E13" si="5">SUM(E4:E12)</f>
        <v>201.8</v>
      </c>
      <c r="F13" s="16">
        <v>385</v>
      </c>
      <c r="G13" s="37">
        <f>G4+G5+G10+G12</f>
        <v>20.194102763823704</v>
      </c>
      <c r="H13" s="17">
        <f>SUM(H4:H12)</f>
        <v>17.940000000000001</v>
      </c>
      <c r="I13" s="17">
        <f>SUM(I4:I12)</f>
        <v>410.48298719999997</v>
      </c>
      <c r="K13" s="18">
        <f>D4+D5+D10+D12</f>
        <v>359.64580000000001</v>
      </c>
      <c r="L13" s="18">
        <f>F12+F10+F5+F4</f>
        <v>385.04903503893212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18.859414498043783</v>
      </c>
      <c r="E14" s="10">
        <f t="shared" ref="E14:F14" si="6">E13/$F$2*1000/10</f>
        <v>10.583509025876628</v>
      </c>
      <c r="F14" s="10">
        <f t="shared" si="6"/>
        <v>20.191531094957888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62.922419999999988</v>
      </c>
      <c r="E15" s="8">
        <v>49.8</v>
      </c>
      <c r="F15" s="27">
        <f>D15</f>
        <v>62.922419999999988</v>
      </c>
      <c r="G15" s="10">
        <f>F15/$F$2/10*1000</f>
        <v>3.2999999999999994</v>
      </c>
      <c r="H15" s="3">
        <v>3.3</v>
      </c>
      <c r="I15" s="18">
        <f>H15*F2/1000*12</f>
        <v>75.506903999999992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422.52242000000001</v>
      </c>
      <c r="E16" s="8">
        <f t="shared" ref="E16:G16" si="7">E15+E13</f>
        <v>251.60000000000002</v>
      </c>
      <c r="F16" s="8">
        <f t="shared" si="7"/>
        <v>447.92241999999999</v>
      </c>
      <c r="G16" s="10">
        <f t="shared" si="7"/>
        <v>23.494102763823705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5.75" customHeight="1" x14ac:dyDescent="0.25">
      <c r="A31" s="4"/>
      <c r="B31" s="4" t="s">
        <v>20</v>
      </c>
      <c r="C31" s="5" t="s">
        <v>23</v>
      </c>
      <c r="D31" s="44">
        <v>17.940000000000001</v>
      </c>
      <c r="E31" s="45"/>
      <c r="F31" s="46"/>
    </row>
    <row r="32" spans="1:10" ht="15.75" customHeight="1" x14ac:dyDescent="0.25">
      <c r="A32" s="4"/>
      <c r="B32" s="4" t="s">
        <v>105</v>
      </c>
      <c r="C32" s="5" t="s">
        <v>23</v>
      </c>
      <c r="D32" s="44">
        <v>20.63</v>
      </c>
      <c r="E32" s="45"/>
      <c r="F32" s="46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5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422.52242000000001</v>
      </c>
    </row>
    <row r="37" spans="1:6" x14ac:dyDescent="0.25">
      <c r="B37" s="29" t="s">
        <v>75</v>
      </c>
      <c r="C37" s="34">
        <v>415.9</v>
      </c>
    </row>
    <row r="38" spans="1:6" x14ac:dyDescent="0.25">
      <c r="B38" s="29" t="s">
        <v>76</v>
      </c>
      <c r="C38" s="32">
        <f>F16</f>
        <v>447.92241999999999</v>
      </c>
    </row>
    <row r="39" spans="1:6" ht="25.5" x14ac:dyDescent="0.25">
      <c r="B39" s="30" t="s">
        <v>89</v>
      </c>
      <c r="C39" s="32">
        <f>C36-C38</f>
        <v>-25.399999999999977</v>
      </c>
    </row>
    <row r="40" spans="1:6" x14ac:dyDescent="0.25">
      <c r="B40" s="33" t="s">
        <v>109</v>
      </c>
      <c r="C40" s="32">
        <v>134</v>
      </c>
    </row>
  </sheetData>
  <mergeCells count="20">
    <mergeCell ref="B30:F30"/>
    <mergeCell ref="D31:F31"/>
    <mergeCell ref="D32:F32"/>
    <mergeCell ref="B33:F33"/>
    <mergeCell ref="D34:F34"/>
    <mergeCell ref="D25:F25"/>
    <mergeCell ref="D26:F26"/>
    <mergeCell ref="B27:F27"/>
    <mergeCell ref="D28:F28"/>
    <mergeCell ref="D29:F29"/>
    <mergeCell ref="B20:F20"/>
    <mergeCell ref="D21:F21"/>
    <mergeCell ref="D22:F22"/>
    <mergeCell ref="B23:F23"/>
    <mergeCell ref="D24:F24"/>
    <mergeCell ref="A2:B2"/>
    <mergeCell ref="A1:G1"/>
    <mergeCell ref="B17:F17"/>
    <mergeCell ref="D18:F18"/>
    <mergeCell ref="D19:F19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40"/>
  <sheetViews>
    <sheetView workbookViewId="0">
      <selection activeCell="R18" sqref="R1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5703125" style="3" customWidth="1"/>
    <col min="8" max="8" width="10" style="3" hidden="1" customWidth="1"/>
    <col min="9" max="10" width="9.140625" style="3" hidden="1" customWidth="1"/>
    <col min="11" max="11" width="9.140625" style="3"/>
    <col min="12" max="13" width="0" style="3" hidden="1" customWidth="1"/>
    <col min="14" max="16384" width="9.140625" style="3"/>
  </cols>
  <sheetData>
    <row r="1" spans="1:13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24" customHeight="1" x14ac:dyDescent="0.25">
      <c r="A2" s="54" t="s">
        <v>62</v>
      </c>
      <c r="B2" s="54"/>
      <c r="F2" s="21">
        <v>4828.3</v>
      </c>
    </row>
    <row r="3" spans="1:13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3" ht="42" customHeight="1" x14ac:dyDescent="0.25">
      <c r="A4" s="36" t="s">
        <v>3</v>
      </c>
      <c r="B4" s="7" t="s">
        <v>97</v>
      </c>
      <c r="C4" s="11" t="s">
        <v>4</v>
      </c>
      <c r="D4" s="13">
        <f>H4*$F$2*10/1000</f>
        <v>67.596199999999996</v>
      </c>
      <c r="E4" s="13">
        <f>42.9+22.1</f>
        <v>65</v>
      </c>
      <c r="F4" s="13">
        <f>$F$13/$D$13*D4</f>
        <v>66.184983006959058</v>
      </c>
      <c r="G4" s="10">
        <f>F4/$F$2/10*1000</f>
        <v>1.3707719695743648</v>
      </c>
      <c r="H4" s="3">
        <v>1.4</v>
      </c>
      <c r="I4" s="17">
        <f>H4*$F$2*12/1000</f>
        <v>81.115440000000007</v>
      </c>
    </row>
    <row r="5" spans="1:13" ht="45" customHeight="1" x14ac:dyDescent="0.25">
      <c r="A5" s="36" t="s">
        <v>5</v>
      </c>
      <c r="B5" s="7" t="s">
        <v>102</v>
      </c>
      <c r="C5" s="11" t="s">
        <v>4</v>
      </c>
      <c r="D5" s="27">
        <f>H5*$F$2*10/1000</f>
        <v>131.32976000000002</v>
      </c>
      <c r="E5" s="27"/>
      <c r="F5" s="27">
        <f>$F$13/$D$13*D5</f>
        <v>128.58796698494905</v>
      </c>
      <c r="G5" s="10">
        <f t="shared" ref="G5:G12" si="0">F5/$F$2/12*1000</f>
        <v>2.219345093596591</v>
      </c>
      <c r="H5" s="3">
        <v>2.72</v>
      </c>
      <c r="I5" s="17">
        <f t="shared" ref="I5:I7" si="1">H5*$F$2*12/1000</f>
        <v>157.59571199999999</v>
      </c>
    </row>
    <row r="6" spans="1:13" ht="30" customHeight="1" x14ac:dyDescent="0.25">
      <c r="A6" s="19"/>
      <c r="B6" s="9" t="s">
        <v>28</v>
      </c>
      <c r="C6" s="5" t="s">
        <v>4</v>
      </c>
      <c r="D6" s="8">
        <v>5.4</v>
      </c>
      <c r="E6" s="8">
        <v>5.4</v>
      </c>
      <c r="F6" s="8">
        <v>5.4</v>
      </c>
      <c r="G6" s="10">
        <f t="shared" si="0"/>
        <v>9.3200505353851257E-2</v>
      </c>
      <c r="I6" s="17">
        <f t="shared" si="1"/>
        <v>0</v>
      </c>
    </row>
    <row r="7" spans="1:13" ht="32.25" customHeight="1" x14ac:dyDescent="0.25">
      <c r="A7" s="19"/>
      <c r="B7" s="9" t="s">
        <v>27</v>
      </c>
      <c r="C7" s="5" t="s">
        <v>4</v>
      </c>
      <c r="D7" s="27">
        <f>H7*$F$2*12/1000</f>
        <v>9.2703359999999986</v>
      </c>
      <c r="E7" s="8">
        <v>3</v>
      </c>
      <c r="F7" s="27">
        <f t="shared" ref="F7:F9" si="2">$F$16/$D$16*D7</f>
        <v>9.1164732639561912</v>
      </c>
      <c r="G7" s="10">
        <f t="shared" si="0"/>
        <v>0.15734442874918347</v>
      </c>
      <c r="H7" s="3">
        <v>0.16</v>
      </c>
      <c r="I7" s="17">
        <f t="shared" si="1"/>
        <v>9.2703359999999986</v>
      </c>
    </row>
    <row r="8" spans="1:13" ht="25.5" x14ac:dyDescent="0.25">
      <c r="A8" s="19"/>
      <c r="B8" s="7" t="s">
        <v>8</v>
      </c>
      <c r="C8" s="11" t="s">
        <v>4</v>
      </c>
      <c r="D8" s="27">
        <v>37.1</v>
      </c>
      <c r="E8" s="27">
        <v>37.1</v>
      </c>
      <c r="F8" s="27">
        <v>37.1</v>
      </c>
      <c r="G8" s="10">
        <f t="shared" si="0"/>
        <v>0.64032199048664473</v>
      </c>
      <c r="H8" s="17">
        <v>0.56000000000000005</v>
      </c>
      <c r="I8" s="17">
        <f t="shared" ref="I8:I12" si="3">H8*$F$2*12/1000</f>
        <v>32.446176000000008</v>
      </c>
    </row>
    <row r="9" spans="1:13" ht="31.5" hidden="1" customHeight="1" x14ac:dyDescent="0.25">
      <c r="A9" s="19"/>
      <c r="B9" s="7" t="s">
        <v>7</v>
      </c>
      <c r="C9" s="11" t="s">
        <v>4</v>
      </c>
      <c r="D9" s="27">
        <f t="shared" ref="D9:D12" si="4">H9*$F$2*12/1000</f>
        <v>245.66390400000003</v>
      </c>
      <c r="E9" s="13"/>
      <c r="F9" s="27">
        <f t="shared" si="2"/>
        <v>241.58654149483911</v>
      </c>
      <c r="G9" s="10">
        <f t="shared" si="0"/>
        <v>4.1696273618533626</v>
      </c>
      <c r="H9" s="3">
        <v>4.24</v>
      </c>
      <c r="I9" s="17">
        <f t="shared" si="3"/>
        <v>245.66390400000003</v>
      </c>
    </row>
    <row r="10" spans="1:13" ht="25.5" x14ac:dyDescent="0.25">
      <c r="A10" s="19" t="s">
        <v>5</v>
      </c>
      <c r="B10" s="7" t="s">
        <v>31</v>
      </c>
      <c r="C10" s="11" t="s">
        <v>4</v>
      </c>
      <c r="D10" s="27">
        <f>H10*$F$2*10/1000*1.2-4</f>
        <v>279.90404000000001</v>
      </c>
      <c r="E10" s="13">
        <v>91.4</v>
      </c>
      <c r="F10" s="27">
        <f>$F$13/$D$13*D10</f>
        <v>274.06043728758698</v>
      </c>
      <c r="G10" s="10">
        <f t="shared" si="0"/>
        <v>4.7301057875371413</v>
      </c>
      <c r="H10" s="17">
        <v>4.9000000000000004</v>
      </c>
      <c r="I10" s="17">
        <f t="shared" si="3"/>
        <v>283.90404000000001</v>
      </c>
    </row>
    <row r="11" spans="1:13" x14ac:dyDescent="0.25">
      <c r="A11" s="19"/>
      <c r="B11" s="9" t="s">
        <v>9</v>
      </c>
      <c r="C11" s="5" t="s">
        <v>4</v>
      </c>
      <c r="D11" s="8">
        <v>10.7</v>
      </c>
      <c r="E11" s="8">
        <v>10.7</v>
      </c>
      <c r="F11" s="8">
        <v>10.7</v>
      </c>
      <c r="G11" s="10">
        <f t="shared" si="0"/>
        <v>0.18467507542337189</v>
      </c>
      <c r="I11" s="17"/>
    </row>
    <row r="12" spans="1:13" x14ac:dyDescent="0.25">
      <c r="A12" s="19" t="s">
        <v>6</v>
      </c>
      <c r="B12" s="7" t="s">
        <v>10</v>
      </c>
      <c r="C12" s="11" t="s">
        <v>4</v>
      </c>
      <c r="D12" s="27">
        <f t="shared" si="4"/>
        <v>139.05504000000002</v>
      </c>
      <c r="E12" s="19">
        <v>37.9</v>
      </c>
      <c r="F12" s="27">
        <f>$F$13/$D$13*D12</f>
        <v>136.15196504288721</v>
      </c>
      <c r="G12" s="10">
        <f t="shared" si="0"/>
        <v>2.3498948049846256</v>
      </c>
      <c r="H12" s="3">
        <v>2.4</v>
      </c>
      <c r="I12" s="17">
        <f t="shared" si="3"/>
        <v>139.05504000000002</v>
      </c>
    </row>
    <row r="13" spans="1:13" x14ac:dyDescent="0.25">
      <c r="A13" s="14"/>
      <c r="B13" s="14" t="s">
        <v>13</v>
      </c>
      <c r="C13" s="15" t="s">
        <v>4</v>
      </c>
      <c r="D13" s="16">
        <v>617.9</v>
      </c>
      <c r="E13" s="16">
        <f>E12+E10+E8+E7+E6+E5+E4+E11</f>
        <v>250.5</v>
      </c>
      <c r="F13" s="16">
        <v>605</v>
      </c>
      <c r="G13" s="37">
        <f>G4+G5+G10+G12</f>
        <v>10.670117655692723</v>
      </c>
      <c r="H13" s="17">
        <f>H12+H10+H8+H7+H5+H4</f>
        <v>12.140000000000002</v>
      </c>
      <c r="I13" s="17">
        <f>I12+I10+I8+I7+I5+I4</f>
        <v>703.38674400000002</v>
      </c>
      <c r="L13" s="18">
        <f>D12+D10+D5+D4</f>
        <v>617.88504</v>
      </c>
      <c r="M13" s="18">
        <f>F12+F10+F5+F4</f>
        <v>604.98535232238237</v>
      </c>
    </row>
    <row r="14" spans="1:13" ht="19.5" customHeight="1" x14ac:dyDescent="0.25">
      <c r="A14" s="4"/>
      <c r="B14" s="9" t="s">
        <v>12</v>
      </c>
      <c r="C14" s="5" t="s">
        <v>23</v>
      </c>
      <c r="D14" s="10">
        <f>D13/$F$2*1000/10</f>
        <v>12.797464946254376</v>
      </c>
      <c r="E14" s="10">
        <f t="shared" ref="E14:F14" si="5">E13/$F$2*1000/10</f>
        <v>5.1881614646977194</v>
      </c>
      <c r="F14" s="10">
        <f t="shared" si="5"/>
        <v>12.530290164240002</v>
      </c>
      <c r="G14" s="10"/>
      <c r="I14" s="18"/>
    </row>
    <row r="15" spans="1:13" ht="18.75" customHeight="1" x14ac:dyDescent="0.25">
      <c r="A15" s="4"/>
      <c r="B15" s="9" t="s">
        <v>24</v>
      </c>
      <c r="C15" s="5" t="s">
        <v>23</v>
      </c>
      <c r="D15" s="8">
        <f>F2*H15/1000*10</f>
        <v>159.3339</v>
      </c>
      <c r="E15" s="8">
        <v>49.8</v>
      </c>
      <c r="F15" s="27">
        <f>D15</f>
        <v>159.3339</v>
      </c>
      <c r="G15" s="10">
        <f>F15/$F$2/10*1000</f>
        <v>3.3</v>
      </c>
      <c r="H15" s="3">
        <v>3.3</v>
      </c>
      <c r="I15" s="18">
        <f>H15*F2/1000*12</f>
        <v>191.20067999999998</v>
      </c>
    </row>
    <row r="16" spans="1:13" x14ac:dyDescent="0.25">
      <c r="A16" s="4"/>
      <c r="B16" s="4" t="s">
        <v>14</v>
      </c>
      <c r="C16" s="5" t="s">
        <v>4</v>
      </c>
      <c r="D16" s="8">
        <f>D15+D13</f>
        <v>777.23389999999995</v>
      </c>
      <c r="E16" s="8">
        <f t="shared" ref="E16:J16" si="6">E15+E13</f>
        <v>300.3</v>
      </c>
      <c r="F16" s="8">
        <f t="shared" si="6"/>
        <v>764.33389999999997</v>
      </c>
      <c r="G16" s="10">
        <f t="shared" si="6"/>
        <v>13.970117655692722</v>
      </c>
      <c r="H16" s="8">
        <f t="shared" si="6"/>
        <v>15.440000000000001</v>
      </c>
      <c r="I16" s="8">
        <f t="shared" si="6"/>
        <v>894.58742400000006</v>
      </c>
      <c r="J16" s="8">
        <f t="shared" si="6"/>
        <v>0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5.75" customHeight="1" x14ac:dyDescent="0.25">
      <c r="A31" s="4"/>
      <c r="B31" s="4" t="s">
        <v>20</v>
      </c>
      <c r="C31" s="5" t="s">
        <v>23</v>
      </c>
      <c r="D31" s="44">
        <v>12.14</v>
      </c>
      <c r="E31" s="45"/>
      <c r="F31" s="46"/>
    </row>
    <row r="32" spans="1:10" ht="15.75" customHeight="1" x14ac:dyDescent="0.25">
      <c r="A32" s="4"/>
      <c r="B32" s="4" t="s">
        <v>105</v>
      </c>
      <c r="C32" s="5" t="s">
        <v>23</v>
      </c>
      <c r="D32" s="44">
        <v>13.96</v>
      </c>
      <c r="E32" s="45"/>
      <c r="F32" s="46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5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777.23389999999995</v>
      </c>
    </row>
    <row r="37" spans="1:6" x14ac:dyDescent="0.25">
      <c r="B37" s="29" t="s">
        <v>75</v>
      </c>
      <c r="C37" s="34">
        <v>739.3</v>
      </c>
    </row>
    <row r="38" spans="1:6" x14ac:dyDescent="0.25">
      <c r="B38" s="29" t="s">
        <v>76</v>
      </c>
      <c r="C38" s="32">
        <f>F16</f>
        <v>764.33389999999997</v>
      </c>
    </row>
    <row r="39" spans="1:6" ht="25.5" x14ac:dyDescent="0.25">
      <c r="B39" s="30" t="s">
        <v>92</v>
      </c>
      <c r="C39" s="32">
        <f>C36-C38</f>
        <v>12.899999999999977</v>
      </c>
    </row>
    <row r="40" spans="1:6" x14ac:dyDescent="0.25">
      <c r="B40" s="33" t="s">
        <v>109</v>
      </c>
      <c r="C40" s="34">
        <f>633.6-26</f>
        <v>607.6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workbookViewId="0">
      <selection activeCell="T11" sqref="T11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7" width="13" style="3" customWidth="1"/>
    <col min="8" max="8" width="10" style="3" bestFit="1" customWidth="1"/>
    <col min="9" max="10" width="9.140625" style="3" hidden="1" customWidth="1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34</v>
      </c>
      <c r="B2" s="54"/>
      <c r="F2" s="1">
        <v>1338.15</v>
      </c>
    </row>
    <row r="3" spans="1:12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2" ht="42.75" customHeight="1" x14ac:dyDescent="0.25">
      <c r="A4" s="35" t="s">
        <v>3</v>
      </c>
      <c r="B4" s="7" t="s">
        <v>97</v>
      </c>
      <c r="C4" s="11" t="s">
        <v>4</v>
      </c>
      <c r="D4" s="13">
        <f>I4*$F$2*10/1000+8.3</f>
        <v>27.034100000000002</v>
      </c>
      <c r="E4" s="13">
        <f>42.9+22.1</f>
        <v>65</v>
      </c>
      <c r="F4" s="13">
        <f>$F$14/$D$14*D4</f>
        <v>46.667803910614531</v>
      </c>
      <c r="G4" s="10">
        <f>F4/$F$2/10*1000</f>
        <v>3.4874867474210314</v>
      </c>
      <c r="I4" s="3">
        <v>1.4</v>
      </c>
      <c r="J4" s="18">
        <f>I4*$F$2*12/1000</f>
        <v>22.480920000000001</v>
      </c>
    </row>
    <row r="5" spans="1:12" ht="15.75" customHeight="1" x14ac:dyDescent="0.25">
      <c r="A5" s="42"/>
      <c r="B5" s="7" t="s">
        <v>110</v>
      </c>
      <c r="C5" s="11"/>
      <c r="D5" s="27"/>
      <c r="E5" s="27"/>
      <c r="F5" s="27">
        <v>23.4</v>
      </c>
      <c r="G5" s="10">
        <f t="shared" ref="G5:G13" si="0">F5/$F$2/10*1000</f>
        <v>1.7486828830848555</v>
      </c>
      <c r="J5" s="18"/>
    </row>
    <row r="6" spans="1:12" ht="39.75" customHeight="1" x14ac:dyDescent="0.25">
      <c r="A6" s="35" t="s">
        <v>5</v>
      </c>
      <c r="B6" s="7" t="s">
        <v>98</v>
      </c>
      <c r="C6" s="11" t="s">
        <v>4</v>
      </c>
      <c r="D6" s="27">
        <f>I6*$F$2*10/1000</f>
        <v>36.397680000000008</v>
      </c>
      <c r="E6" s="27"/>
      <c r="F6" s="27">
        <f>$F$14/$D$14*D6</f>
        <v>62.831749273743029</v>
      </c>
      <c r="G6" s="10">
        <f t="shared" si="0"/>
        <v>4.6954189944134086</v>
      </c>
      <c r="I6" s="3">
        <v>2.72</v>
      </c>
      <c r="J6" s="18"/>
    </row>
    <row r="7" spans="1:12" ht="40.5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0.20924410566827331</v>
      </c>
      <c r="J7" s="18">
        <f t="shared" ref="J7:J13" si="1">I7*$F$2*12/1000</f>
        <v>0</v>
      </c>
    </row>
    <row r="8" spans="1:12" ht="42.75" customHeight="1" x14ac:dyDescent="0.25">
      <c r="A8" s="6"/>
      <c r="B8" s="9" t="s">
        <v>27</v>
      </c>
      <c r="C8" s="5" t="s">
        <v>4</v>
      </c>
      <c r="D8" s="4">
        <v>1.6</v>
      </c>
      <c r="E8" s="4">
        <v>1.6</v>
      </c>
      <c r="F8" s="4">
        <v>1.6</v>
      </c>
      <c r="G8" s="10">
        <f t="shared" si="0"/>
        <v>0.11956806038187048</v>
      </c>
      <c r="I8" s="3">
        <v>0.2</v>
      </c>
      <c r="J8" s="18">
        <f t="shared" si="1"/>
        <v>3.2115600000000004</v>
      </c>
    </row>
    <row r="9" spans="1:12" ht="25.5" x14ac:dyDescent="0.25">
      <c r="A9" s="6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0.50816425662294951</v>
      </c>
      <c r="J9" s="18">
        <f t="shared" si="1"/>
        <v>0</v>
      </c>
    </row>
    <row r="10" spans="1:12" ht="31.5" customHeight="1" x14ac:dyDescent="0.25">
      <c r="A10" s="6"/>
      <c r="B10" s="9" t="s">
        <v>114</v>
      </c>
      <c r="C10" s="5" t="s">
        <v>4</v>
      </c>
      <c r="D10" s="4">
        <v>2.4</v>
      </c>
      <c r="E10" s="4">
        <v>2.4</v>
      </c>
      <c r="F10" s="4">
        <v>2.4</v>
      </c>
      <c r="G10" s="10">
        <f t="shared" si="0"/>
        <v>0.17935209057280574</v>
      </c>
      <c r="J10" s="18">
        <f t="shared" si="1"/>
        <v>0</v>
      </c>
    </row>
    <row r="11" spans="1:12" ht="25.5" x14ac:dyDescent="0.25">
      <c r="A11" s="6" t="s">
        <v>5</v>
      </c>
      <c r="B11" s="7" t="s">
        <v>31</v>
      </c>
      <c r="C11" s="11" t="s">
        <v>4</v>
      </c>
      <c r="D11" s="27">
        <f>I11*$F$2*10/1000</f>
        <v>83.500559999999993</v>
      </c>
      <c r="E11" s="13">
        <v>91.4</v>
      </c>
      <c r="F11" s="27">
        <f>$F$14/$D$14*D11</f>
        <v>144.14342480446928</v>
      </c>
      <c r="G11" s="10">
        <f t="shared" si="0"/>
        <v>10.771843575418993</v>
      </c>
      <c r="I11" s="3">
        <v>6.24</v>
      </c>
      <c r="J11" s="18">
        <f t="shared" si="1"/>
        <v>100.20067200000001</v>
      </c>
    </row>
    <row r="12" spans="1:12" x14ac:dyDescent="0.25">
      <c r="A12" s="6"/>
      <c r="B12" s="4" t="s">
        <v>9</v>
      </c>
      <c r="C12" s="5" t="s">
        <v>4</v>
      </c>
      <c r="D12" s="4">
        <v>4.5999999999999996</v>
      </c>
      <c r="E12" s="4">
        <v>4.5999999999999996</v>
      </c>
      <c r="F12" s="4">
        <v>4.5999999999999996</v>
      </c>
      <c r="G12" s="10">
        <f t="shared" si="0"/>
        <v>0.34375817359787758</v>
      </c>
      <c r="J12" s="17">
        <f t="shared" si="1"/>
        <v>0</v>
      </c>
    </row>
    <row r="13" spans="1:12" x14ac:dyDescent="0.25">
      <c r="A13" s="6" t="s">
        <v>6</v>
      </c>
      <c r="B13" s="7" t="s">
        <v>10</v>
      </c>
      <c r="C13" s="11" t="s">
        <v>4</v>
      </c>
      <c r="D13" s="27">
        <f>I13*$F$2*10/1000</f>
        <v>32.115600000000001</v>
      </c>
      <c r="E13" s="6">
        <v>37.9</v>
      </c>
      <c r="F13" s="27">
        <f>$F$14/$D$14*D13</f>
        <v>55.439778770949722</v>
      </c>
      <c r="G13" s="10">
        <f t="shared" si="0"/>
        <v>4.1430167597765362</v>
      </c>
      <c r="I13" s="3">
        <v>2.4</v>
      </c>
      <c r="J13" s="17">
        <f t="shared" si="1"/>
        <v>38.538719999999998</v>
      </c>
    </row>
    <row r="14" spans="1:12" x14ac:dyDescent="0.25">
      <c r="A14" s="14"/>
      <c r="B14" s="14" t="s">
        <v>13</v>
      </c>
      <c r="C14" s="15" t="s">
        <v>4</v>
      </c>
      <c r="D14" s="16">
        <v>179</v>
      </c>
      <c r="E14" s="16">
        <f>SUM(E4:E13)</f>
        <v>212.5</v>
      </c>
      <c r="F14" s="16">
        <v>309</v>
      </c>
      <c r="G14" s="37">
        <f>G13+G11+G6+G4</f>
        <v>23.097766077029966</v>
      </c>
      <c r="I14" s="3">
        <f>SUM(I4:I13)</f>
        <v>12.96</v>
      </c>
      <c r="J14" s="18">
        <f>SUM(J4:J13)</f>
        <v>164.431872</v>
      </c>
      <c r="K14" s="18">
        <f>D4+D6+D11+D13</f>
        <v>179.04794000000001</v>
      </c>
      <c r="L14" s="18">
        <f>F13+F11+F6+F4</f>
        <v>309.08275675977654</v>
      </c>
    </row>
    <row r="15" spans="1:12" ht="14.25" customHeight="1" x14ac:dyDescent="0.25">
      <c r="A15" s="4"/>
      <c r="B15" s="9" t="s">
        <v>12</v>
      </c>
      <c r="C15" s="5" t="s">
        <v>23</v>
      </c>
      <c r="D15" s="10">
        <f>D14/$F$2*1000/10</f>
        <v>13.37667675522176</v>
      </c>
      <c r="E15" s="10">
        <f t="shared" ref="E15" si="2">E14/$F$2*1000/12</f>
        <v>13.233444182889313</v>
      </c>
      <c r="F15" s="10">
        <f>F14/$F$2*1000/10</f>
        <v>23.091581661248735</v>
      </c>
      <c r="G15" s="10"/>
      <c r="J15" s="18"/>
    </row>
    <row r="16" spans="1:12" ht="16.5" customHeight="1" x14ac:dyDescent="0.25">
      <c r="A16" s="4"/>
      <c r="B16" s="9" t="s">
        <v>24</v>
      </c>
      <c r="C16" s="5" t="s">
        <v>23</v>
      </c>
      <c r="D16" s="8">
        <f>F2*I16/1000*10</f>
        <v>44.158950000000004</v>
      </c>
      <c r="E16" s="8">
        <f t="shared" ref="E16" si="3">G2*J16/1000*12</f>
        <v>0</v>
      </c>
      <c r="F16" s="27">
        <f>D16</f>
        <v>44.158950000000004</v>
      </c>
      <c r="G16" s="10">
        <f>F16/$F$2/10*1000</f>
        <v>3.3</v>
      </c>
      <c r="I16" s="3">
        <v>3.3</v>
      </c>
      <c r="J16" s="18">
        <f>I16*F2/1000*12</f>
        <v>52.99074000000001</v>
      </c>
    </row>
    <row r="17" spans="1:10" ht="16.5" customHeight="1" x14ac:dyDescent="0.25">
      <c r="A17" s="4"/>
      <c r="B17" s="4" t="s">
        <v>14</v>
      </c>
      <c r="C17" s="5" t="s">
        <v>4</v>
      </c>
      <c r="D17" s="8">
        <f>D16+D14</f>
        <v>223.15895</v>
      </c>
      <c r="E17" s="8">
        <f t="shared" ref="E17:G17" si="4">E16+E14</f>
        <v>212.5</v>
      </c>
      <c r="F17" s="8">
        <f t="shared" si="4"/>
        <v>353.15895</v>
      </c>
      <c r="G17" s="10">
        <f t="shared" si="4"/>
        <v>26.397766077029967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2">
        <v>14.9</v>
      </c>
      <c r="E33" s="50"/>
      <c r="F33" s="51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223.15895</v>
      </c>
    </row>
    <row r="38" spans="1:6" s="29" customFormat="1" x14ac:dyDescent="0.25">
      <c r="B38" s="29" t="s">
        <v>75</v>
      </c>
      <c r="C38" s="32">
        <v>211.8</v>
      </c>
    </row>
    <row r="39" spans="1:6" s="29" customFormat="1" x14ac:dyDescent="0.25">
      <c r="B39" s="29" t="s">
        <v>76</v>
      </c>
      <c r="C39" s="32">
        <f>F17</f>
        <v>353.15895</v>
      </c>
    </row>
    <row r="40" spans="1:6" ht="25.5" x14ac:dyDescent="0.25">
      <c r="B40" s="30" t="s">
        <v>77</v>
      </c>
      <c r="C40" s="32">
        <f>C37-C39</f>
        <v>-130</v>
      </c>
    </row>
    <row r="41" spans="1:6" x14ac:dyDescent="0.25">
      <c r="B41" s="33" t="s">
        <v>109</v>
      </c>
      <c r="C41" s="34">
        <v>169.6</v>
      </c>
    </row>
  </sheetData>
  <mergeCells count="20">
    <mergeCell ref="D20:F20"/>
    <mergeCell ref="B21:F21"/>
    <mergeCell ref="D32:F32"/>
    <mergeCell ref="D33:F33"/>
    <mergeCell ref="B34:F34"/>
    <mergeCell ref="D35:F35"/>
    <mergeCell ref="A1:G1"/>
    <mergeCell ref="D27:F27"/>
    <mergeCell ref="B28:F28"/>
    <mergeCell ref="D29:F29"/>
    <mergeCell ref="D30:F30"/>
    <mergeCell ref="B31:F31"/>
    <mergeCell ref="D22:F22"/>
    <mergeCell ref="D23:F23"/>
    <mergeCell ref="B24:F24"/>
    <mergeCell ref="D25:F25"/>
    <mergeCell ref="D26:F26"/>
    <mergeCell ref="A2:B2"/>
    <mergeCell ref="B18:F18"/>
    <mergeCell ref="D19:F19"/>
  </mergeCells>
  <pageMargins left="0.70866141732283472" right="0.11811023622047245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40"/>
  <sheetViews>
    <sheetView workbookViewId="0">
      <selection activeCell="R7" sqref="R7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7109375" style="3" customWidth="1"/>
    <col min="8" max="8" width="10" style="3" hidden="1" customWidth="1"/>
    <col min="9" max="9" width="9.140625" style="3" hidden="1" customWidth="1"/>
    <col min="10" max="10" width="9.140625" style="3" customWidth="1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63</v>
      </c>
      <c r="B2" s="54"/>
      <c r="F2" s="21">
        <v>11282.52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39.75" customHeight="1" x14ac:dyDescent="0.25">
      <c r="A4" s="36" t="s">
        <v>3</v>
      </c>
      <c r="B4" s="7" t="s">
        <v>97</v>
      </c>
      <c r="C4" s="11" t="s">
        <v>4</v>
      </c>
      <c r="D4" s="13">
        <f>H4*$F$2*10/1000*1.1</f>
        <v>173.75080800000001</v>
      </c>
      <c r="E4" s="13">
        <f>42.9+22.1</f>
        <v>65</v>
      </c>
      <c r="F4" s="13">
        <f>$F$13/$D$13*D4</f>
        <v>206.10008440621536</v>
      </c>
      <c r="G4" s="10">
        <f>F4/$F$2/10*1000</f>
        <v>1.8267203107658159</v>
      </c>
      <c r="H4" s="3">
        <v>1.4</v>
      </c>
      <c r="I4" s="17">
        <f>H4*$F$2*12/1000</f>
        <v>189.546336</v>
      </c>
    </row>
    <row r="5" spans="1:12" ht="43.5" customHeight="1" x14ac:dyDescent="0.25">
      <c r="A5" s="36" t="s">
        <v>5</v>
      </c>
      <c r="B5" s="7" t="s">
        <v>102</v>
      </c>
      <c r="C5" s="11" t="s">
        <v>4</v>
      </c>
      <c r="D5" s="27">
        <f>H5*$F$2*10/1000*1.16</f>
        <v>355.98607103999996</v>
      </c>
      <c r="E5" s="27"/>
      <c r="F5" s="27">
        <f>$F$13/$D$13*D5</f>
        <v>422.26427683018869</v>
      </c>
      <c r="G5" s="10">
        <f t="shared" ref="G5:G12" si="0">F5/$F$2/10*1000</f>
        <v>3.7426415094339625</v>
      </c>
      <c r="H5" s="3">
        <v>2.72</v>
      </c>
      <c r="I5" s="17">
        <f t="shared" ref="I5:I7" si="1">H5*$F$2*12/1000</f>
        <v>368.26145280000003</v>
      </c>
    </row>
    <row r="6" spans="1:12" ht="30" customHeight="1" x14ac:dyDescent="0.25">
      <c r="A6" s="19"/>
      <c r="B6" s="9" t="s">
        <v>28</v>
      </c>
      <c r="C6" s="5" t="s">
        <v>4</v>
      </c>
      <c r="D6" s="8">
        <v>11.8</v>
      </c>
      <c r="E6" s="8">
        <v>11.8</v>
      </c>
      <c r="F6" s="8">
        <v>11.8</v>
      </c>
      <c r="G6" s="10">
        <f t="shared" si="0"/>
        <v>0.10458656399456859</v>
      </c>
      <c r="I6" s="17">
        <f>H6*$F$2*12/1000</f>
        <v>0</v>
      </c>
    </row>
    <row r="7" spans="1:12" ht="32.25" customHeight="1" x14ac:dyDescent="0.25">
      <c r="A7" s="19"/>
      <c r="B7" s="9" t="s">
        <v>27</v>
      </c>
      <c r="C7" s="5" t="s">
        <v>4</v>
      </c>
      <c r="D7" s="8">
        <v>10.8</v>
      </c>
      <c r="E7" s="8">
        <v>10.8</v>
      </c>
      <c r="F7" s="8">
        <v>10.8</v>
      </c>
      <c r="G7" s="10">
        <f t="shared" si="0"/>
        <v>9.5723295859435661E-2</v>
      </c>
      <c r="H7" s="3">
        <v>0.16</v>
      </c>
      <c r="I7" s="17">
        <f t="shared" si="1"/>
        <v>21.662438400000003</v>
      </c>
    </row>
    <row r="8" spans="1:12" ht="25.5" x14ac:dyDescent="0.25">
      <c r="A8" s="19"/>
      <c r="B8" s="7" t="s">
        <v>8</v>
      </c>
      <c r="C8" s="11" t="s">
        <v>4</v>
      </c>
      <c r="D8" s="8">
        <v>67.5</v>
      </c>
      <c r="E8" s="8">
        <v>67.5</v>
      </c>
      <c r="F8" s="8">
        <v>67.5</v>
      </c>
      <c r="G8" s="10">
        <f t="shared" si="0"/>
        <v>0.59827059912147285</v>
      </c>
      <c r="H8" s="17">
        <f>90/F2/12*1000</f>
        <v>0.66474511013496984</v>
      </c>
      <c r="I8" s="17">
        <f t="shared" ref="I8:I12" si="2">H8*$F$2*12/1000</f>
        <v>90</v>
      </c>
    </row>
    <row r="9" spans="1:12" ht="31.5" hidden="1" customHeight="1" x14ac:dyDescent="0.25">
      <c r="A9" s="19"/>
      <c r="B9" s="7" t="s">
        <v>7</v>
      </c>
      <c r="C9" s="11" t="s">
        <v>4</v>
      </c>
      <c r="D9" s="27">
        <f t="shared" ref="D9" si="3">H9*$F$2*12/1000</f>
        <v>574.05461760000014</v>
      </c>
      <c r="E9" s="13"/>
      <c r="F9" s="27">
        <f>$F$16/$D$16*D9</f>
        <v>658.99551408419302</v>
      </c>
      <c r="G9" s="10">
        <f t="shared" si="0"/>
        <v>5.8408539411779721</v>
      </c>
      <c r="H9" s="3">
        <v>4.24</v>
      </c>
      <c r="I9" s="17">
        <f t="shared" si="2"/>
        <v>574.05461760000014</v>
      </c>
    </row>
    <row r="10" spans="1:12" ht="25.5" x14ac:dyDescent="0.25">
      <c r="A10" s="19" t="s">
        <v>5</v>
      </c>
      <c r="B10" s="7" t="s">
        <v>31</v>
      </c>
      <c r="C10" s="11" t="s">
        <v>4</v>
      </c>
      <c r="D10" s="27">
        <f>H10*$F$2*10/1000*1.108+0.2</f>
        <v>614.00067905600019</v>
      </c>
      <c r="E10" s="13">
        <v>91.4</v>
      </c>
      <c r="F10" s="27">
        <f>$F$13/$D$13*D10</f>
        <v>728.3165657503888</v>
      </c>
      <c r="G10" s="10">
        <f t="shared" si="0"/>
        <v>6.4552650095048687</v>
      </c>
      <c r="H10" s="3">
        <v>4.91</v>
      </c>
      <c r="I10" s="17">
        <f t="shared" si="2"/>
        <v>664.76607839999997</v>
      </c>
    </row>
    <row r="11" spans="1:12" x14ac:dyDescent="0.25">
      <c r="A11" s="19"/>
      <c r="B11" s="9" t="s">
        <v>9</v>
      </c>
      <c r="C11" s="5" t="s">
        <v>4</v>
      </c>
      <c r="D11" s="8">
        <v>16</v>
      </c>
      <c r="E11" s="8">
        <v>16</v>
      </c>
      <c r="F11" s="8">
        <v>16</v>
      </c>
      <c r="G11" s="10">
        <f t="shared" si="0"/>
        <v>0.14181229016212687</v>
      </c>
      <c r="I11" s="17"/>
    </row>
    <row r="12" spans="1:12" x14ac:dyDescent="0.25">
      <c r="A12" s="19" t="s">
        <v>6</v>
      </c>
      <c r="B12" s="7" t="s">
        <v>10</v>
      </c>
      <c r="C12" s="11" t="s">
        <v>4</v>
      </c>
      <c r="D12" s="13">
        <f>H12*$F$2*10/1000*1.1</f>
        <v>297.85852799999998</v>
      </c>
      <c r="E12" s="19">
        <v>37.9</v>
      </c>
      <c r="F12" s="27">
        <f>$F$13/$D$13*D12</f>
        <v>353.31443041065484</v>
      </c>
      <c r="G12" s="10">
        <f t="shared" si="0"/>
        <v>3.1315205327413982</v>
      </c>
      <c r="H12" s="3">
        <v>2.4</v>
      </c>
      <c r="I12" s="17">
        <f t="shared" si="2"/>
        <v>324.936576</v>
      </c>
    </row>
    <row r="13" spans="1:12" x14ac:dyDescent="0.25">
      <c r="A13" s="14"/>
      <c r="B13" s="14" t="s">
        <v>13</v>
      </c>
      <c r="C13" s="15" t="s">
        <v>4</v>
      </c>
      <c r="D13" s="16">
        <v>1441.6</v>
      </c>
      <c r="E13" s="16">
        <f>E12+E11+E10+E8+E7+E6+E5+E4</f>
        <v>300.40000000000003</v>
      </c>
      <c r="F13" s="16">
        <v>1710</v>
      </c>
      <c r="G13" s="37">
        <f>G12+G10+G5+G4</f>
        <v>15.156147362446045</v>
      </c>
      <c r="H13" s="17">
        <f>H12+H10+H8+H7+H5+H4</f>
        <v>12.254745110134971</v>
      </c>
      <c r="I13" s="17">
        <f>I12+I10+I8+I7+I5+I4</f>
        <v>1659.1728816</v>
      </c>
      <c r="J13" s="18"/>
      <c r="K13" s="18">
        <f>D4+D5+D10+D12</f>
        <v>1441.5960860960001</v>
      </c>
      <c r="L13" s="18">
        <f>F4+F5+F10+F12</f>
        <v>1709.9953573974476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12.777287343607632</v>
      </c>
      <c r="E14" s="10">
        <f t="shared" ref="E14:F14" si="4">E13/$F$2*1000/10</f>
        <v>2.6625257477939326</v>
      </c>
      <c r="F14" s="10">
        <f t="shared" si="4"/>
        <v>15.156188511077312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372.32315999999997</v>
      </c>
      <c r="E15" s="8">
        <v>49.8</v>
      </c>
      <c r="F15" s="27">
        <f>D15</f>
        <v>372.32315999999997</v>
      </c>
      <c r="G15" s="10">
        <f>F15/$F$2/10*1000</f>
        <v>3.2999999999999994</v>
      </c>
      <c r="H15" s="3">
        <v>3.3</v>
      </c>
      <c r="I15" s="18">
        <f>H15*F2/1000*12</f>
        <v>446.78779199999997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1813.9231599999998</v>
      </c>
      <c r="E16" s="8">
        <f t="shared" ref="E16:G16" si="5">E15+E13</f>
        <v>350.20000000000005</v>
      </c>
      <c r="F16" s="8">
        <f t="shared" si="5"/>
        <v>2082.3231599999999</v>
      </c>
      <c r="G16" s="10">
        <f t="shared" si="5"/>
        <v>18.456147362446046</v>
      </c>
      <c r="H16" s="8">
        <f t="shared" ref="H16:I16" si="6">H15+H13</f>
        <v>15.55474511013497</v>
      </c>
      <c r="I16" s="8">
        <f t="shared" si="6"/>
        <v>2105.9606736000001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12.25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14.09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1813.9231599999998</v>
      </c>
    </row>
    <row r="37" spans="1:6" x14ac:dyDescent="0.25">
      <c r="B37" s="29" t="s">
        <v>75</v>
      </c>
      <c r="C37" s="34">
        <v>1753</v>
      </c>
    </row>
    <row r="38" spans="1:6" x14ac:dyDescent="0.25">
      <c r="B38" s="29" t="s">
        <v>76</v>
      </c>
      <c r="C38" s="32">
        <f>F16</f>
        <v>2082.3231599999999</v>
      </c>
    </row>
    <row r="39" spans="1:6" ht="25.5" x14ac:dyDescent="0.25">
      <c r="B39" s="30" t="s">
        <v>93</v>
      </c>
      <c r="C39" s="32">
        <f>C36-C38</f>
        <v>-268.40000000000009</v>
      </c>
    </row>
    <row r="40" spans="1:6" x14ac:dyDescent="0.25">
      <c r="B40" s="33" t="s">
        <v>109</v>
      </c>
      <c r="C40" s="34">
        <f>1198.2-45.3</f>
        <v>1152.9000000000001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51181102362204722" right="0.19685039370078741" top="0.74803149606299213" bottom="0.74803149606299213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0"/>
  <sheetViews>
    <sheetView workbookViewId="0">
      <selection activeCell="S10" sqref="S10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28515625" style="3" customWidth="1"/>
    <col min="8" max="8" width="10" style="3" hidden="1" customWidth="1"/>
    <col min="9" max="9" width="9.140625" style="3" hidden="1" customWidth="1"/>
    <col min="10" max="10" width="9.140625" style="3"/>
    <col min="11" max="12" width="9.140625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64</v>
      </c>
      <c r="B2" s="54"/>
      <c r="F2" s="21">
        <v>8366.35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1.25" customHeight="1" x14ac:dyDescent="0.25">
      <c r="A4" s="36" t="s">
        <v>3</v>
      </c>
      <c r="B4" s="7" t="s">
        <v>97</v>
      </c>
      <c r="C4" s="11" t="s">
        <v>4</v>
      </c>
      <c r="D4" s="13">
        <f>H4*$F$2*10/1000+66.7</f>
        <v>183.82889999999998</v>
      </c>
      <c r="E4" s="13">
        <f>42.9+22.1</f>
        <v>65</v>
      </c>
      <c r="F4" s="13">
        <f>$F$13/$D$13*D4</f>
        <v>144.1980361115865</v>
      </c>
      <c r="G4" s="10">
        <f>F4/$F$2/10*1000</f>
        <v>1.7235477372042347</v>
      </c>
      <c r="H4" s="3">
        <v>1.4</v>
      </c>
      <c r="I4" s="17">
        <f>H4*$F$2*12/1000</f>
        <v>140.55467999999999</v>
      </c>
    </row>
    <row r="5" spans="1:12" ht="42" customHeight="1" x14ac:dyDescent="0.25">
      <c r="A5" s="36" t="s">
        <v>5</v>
      </c>
      <c r="B5" s="7" t="s">
        <v>98</v>
      </c>
      <c r="C5" s="11" t="s">
        <v>4</v>
      </c>
      <c r="D5" s="27">
        <f>D9+D8+D7+D6+150-20+0.7</f>
        <v>706.01560000000006</v>
      </c>
      <c r="E5" s="27"/>
      <c r="F5" s="27">
        <f>$F$13/$D$13*D5</f>
        <v>553.80880255576483</v>
      </c>
      <c r="G5" s="10">
        <f t="shared" ref="G5:G12" si="0">F5/$F$2/10*1000</f>
        <v>6.6194792538653617</v>
      </c>
      <c r="H5" s="3">
        <v>2.72</v>
      </c>
      <c r="I5" s="17">
        <f t="shared" ref="I5:I7" si="1">H5*$F$2*12/1000</f>
        <v>273.07766399999997</v>
      </c>
    </row>
    <row r="6" spans="1:12" ht="30" customHeight="1" x14ac:dyDescent="0.25">
      <c r="A6" s="19"/>
      <c r="B6" s="9" t="s">
        <v>28</v>
      </c>
      <c r="C6" s="5" t="s">
        <v>4</v>
      </c>
      <c r="D6" s="8">
        <v>6.8</v>
      </c>
      <c r="E6" s="8">
        <v>6.8</v>
      </c>
      <c r="F6" s="8">
        <v>6.8</v>
      </c>
      <c r="G6" s="10">
        <f t="shared" si="0"/>
        <v>8.1277976656486992E-2</v>
      </c>
      <c r="I6" s="17">
        <f t="shared" si="1"/>
        <v>0</v>
      </c>
    </row>
    <row r="7" spans="1:12" ht="30.75" customHeight="1" x14ac:dyDescent="0.25">
      <c r="A7" s="19"/>
      <c r="B7" s="9" t="s">
        <v>27</v>
      </c>
      <c r="C7" s="5" t="s">
        <v>4</v>
      </c>
      <c r="D7" s="8">
        <f>H7*$F$2*10/1000</f>
        <v>9.202985</v>
      </c>
      <c r="E7" s="8">
        <f t="shared" ref="E7:F7" si="2">I7*$F$2*10/1000</f>
        <v>923.94472265700006</v>
      </c>
      <c r="F7" s="8">
        <f t="shared" si="2"/>
        <v>0</v>
      </c>
      <c r="G7" s="10">
        <f t="shared" si="0"/>
        <v>0</v>
      </c>
      <c r="H7" s="3">
        <v>0.11</v>
      </c>
      <c r="I7" s="17">
        <f t="shared" si="1"/>
        <v>11.043582000000001</v>
      </c>
    </row>
    <row r="8" spans="1:12" ht="25.5" x14ac:dyDescent="0.25">
      <c r="A8" s="19"/>
      <c r="B8" s="7" t="s">
        <v>8</v>
      </c>
      <c r="C8" s="11" t="s">
        <v>4</v>
      </c>
      <c r="D8" s="8">
        <v>100</v>
      </c>
      <c r="E8" s="8">
        <v>100</v>
      </c>
      <c r="F8" s="8">
        <v>100</v>
      </c>
      <c r="G8" s="10">
        <f t="shared" si="0"/>
        <v>1.1952643625953969</v>
      </c>
      <c r="H8" s="17">
        <v>0.76</v>
      </c>
      <c r="I8" s="17">
        <f t="shared" ref="I8:I12" si="3">H8*$F$2*12/1000</f>
        <v>76.301112000000003</v>
      </c>
    </row>
    <row r="9" spans="1:12" ht="31.5" customHeight="1" x14ac:dyDescent="0.25">
      <c r="A9" s="19"/>
      <c r="B9" s="7" t="s">
        <v>7</v>
      </c>
      <c r="C9" s="11" t="s">
        <v>4</v>
      </c>
      <c r="D9" s="8">
        <f>H9*$F$2*10/1000</f>
        <v>459.31261499999999</v>
      </c>
      <c r="E9" s="8"/>
      <c r="F9" s="8">
        <v>551.20000000000005</v>
      </c>
      <c r="G9" s="10">
        <f t="shared" si="0"/>
        <v>6.5882971666258285</v>
      </c>
      <c r="H9" s="3">
        <v>5.49</v>
      </c>
      <c r="I9" s="17">
        <f t="shared" si="3"/>
        <v>551.17513800000006</v>
      </c>
    </row>
    <row r="10" spans="1:12" ht="25.5" x14ac:dyDescent="0.25">
      <c r="A10" s="36" t="s">
        <v>6</v>
      </c>
      <c r="B10" s="7" t="s">
        <v>31</v>
      </c>
      <c r="C10" s="11" t="s">
        <v>4</v>
      </c>
      <c r="D10" s="27">
        <f>H10*$F$2*10/1000+100</f>
        <v>622.06024000000002</v>
      </c>
      <c r="E10" s="13">
        <v>91.4</v>
      </c>
      <c r="F10" s="27">
        <f>$F$13/$D$13*D10</f>
        <v>487.95300929887617</v>
      </c>
      <c r="G10" s="10">
        <f t="shared" si="0"/>
        <v>5.8323284263612702</v>
      </c>
      <c r="H10" s="3">
        <v>6.24</v>
      </c>
      <c r="I10" s="17">
        <f t="shared" si="3"/>
        <v>626.47228800000005</v>
      </c>
    </row>
    <row r="11" spans="1:12" x14ac:dyDescent="0.25">
      <c r="A11" s="19"/>
      <c r="B11" s="9" t="s">
        <v>9</v>
      </c>
      <c r="C11" s="5" t="s">
        <v>4</v>
      </c>
      <c r="D11" s="8">
        <v>14.3</v>
      </c>
      <c r="E11" s="8">
        <v>14.3</v>
      </c>
      <c r="F11" s="8">
        <v>14.3</v>
      </c>
      <c r="G11" s="10">
        <f t="shared" si="0"/>
        <v>0.17092280385114175</v>
      </c>
      <c r="I11" s="17"/>
    </row>
    <row r="12" spans="1:12" x14ac:dyDescent="0.25">
      <c r="A12" s="36" t="s">
        <v>99</v>
      </c>
      <c r="B12" s="7" t="s">
        <v>10</v>
      </c>
      <c r="C12" s="11" t="s">
        <v>4</v>
      </c>
      <c r="D12" s="27">
        <f t="shared" ref="D12" si="4">H12*$F$2*12/1000</f>
        <v>240.95088000000001</v>
      </c>
      <c r="E12" s="19">
        <v>37.9</v>
      </c>
      <c r="F12" s="27">
        <f>$F$13/$D$13*D12</f>
        <v>189.00533972274516</v>
      </c>
      <c r="G12" s="10">
        <f t="shared" si="0"/>
        <v>2.2591134691083345</v>
      </c>
      <c r="H12" s="3">
        <v>2.4</v>
      </c>
      <c r="I12" s="17">
        <f t="shared" si="3"/>
        <v>240.95088000000001</v>
      </c>
    </row>
    <row r="13" spans="1:12" x14ac:dyDescent="0.25">
      <c r="A13" s="14"/>
      <c r="B13" s="14" t="s">
        <v>13</v>
      </c>
      <c r="C13" s="15" t="s">
        <v>4</v>
      </c>
      <c r="D13" s="16">
        <v>1752.9</v>
      </c>
      <c r="E13" s="16">
        <f t="shared" ref="E13" si="5">SUM(E4:E12)</f>
        <v>1239.3447226570001</v>
      </c>
      <c r="F13" s="16">
        <v>1375</v>
      </c>
      <c r="G13" s="37">
        <f>G12+G10+G4+G5</f>
        <v>16.4344688865392</v>
      </c>
      <c r="H13" s="17">
        <f>SUM(H4:H12)</f>
        <v>19.119999999999997</v>
      </c>
      <c r="I13" s="18">
        <f>SUM(I4:I12)</f>
        <v>1919.5753440000001</v>
      </c>
      <c r="K13" s="18">
        <f>D12+D10+D5+D4</f>
        <v>1752.85562</v>
      </c>
      <c r="L13" s="18">
        <f>F12+F10+F5+F4</f>
        <v>1374.9651876889727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20.951789011934714</v>
      </c>
      <c r="E14" s="10">
        <f t="shared" ref="E14:F14" si="6">E13/$F$2*1000/10</f>
        <v>14.813445799625882</v>
      </c>
      <c r="F14" s="10">
        <f t="shared" si="6"/>
        <v>16.434884985686711</v>
      </c>
      <c r="G14" s="10"/>
      <c r="I14" s="18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276.08954999999997</v>
      </c>
      <c r="E15" s="8">
        <v>49.8</v>
      </c>
      <c r="F15" s="8">
        <f>D15</f>
        <v>276.08954999999997</v>
      </c>
      <c r="G15" s="10">
        <f>F15/$F$2/10*1000</f>
        <v>3.2999999999999994</v>
      </c>
      <c r="H15" s="3">
        <v>3.3</v>
      </c>
      <c r="I15" s="18">
        <f>H15*F2/1000*12</f>
        <v>331.30745999999999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2028.98955</v>
      </c>
      <c r="E16" s="8">
        <f t="shared" ref="E16:G16" si="7">E15+E13</f>
        <v>1289.1447226570001</v>
      </c>
      <c r="F16" s="8">
        <f t="shared" si="7"/>
        <v>1651.0895499999999</v>
      </c>
      <c r="G16" s="10">
        <f t="shared" si="7"/>
        <v>19.734468886539201</v>
      </c>
      <c r="H16" s="8">
        <f t="shared" ref="H16:I16" si="8">H15+H13</f>
        <v>22.419999999999998</v>
      </c>
      <c r="I16" s="8">
        <f t="shared" si="8"/>
        <v>2250.8828039999999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19.12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24.51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2028.98955</v>
      </c>
    </row>
    <row r="37" spans="1:6" x14ac:dyDescent="0.25">
      <c r="B37" s="29" t="s">
        <v>75</v>
      </c>
      <c r="C37" s="34">
        <v>1965.3</v>
      </c>
    </row>
    <row r="38" spans="1:6" x14ac:dyDescent="0.25">
      <c r="B38" s="29" t="s">
        <v>76</v>
      </c>
      <c r="C38" s="32">
        <f>F16</f>
        <v>1651.0895499999999</v>
      </c>
    </row>
    <row r="39" spans="1:6" ht="25.5" x14ac:dyDescent="0.25">
      <c r="B39" s="30" t="s">
        <v>94</v>
      </c>
      <c r="C39" s="32">
        <f>C36-C38</f>
        <v>377.90000000000009</v>
      </c>
    </row>
    <row r="40" spans="1:6" x14ac:dyDescent="0.25">
      <c r="B40" s="33" t="s">
        <v>109</v>
      </c>
      <c r="C40" s="34">
        <f>450.3-6.5</f>
        <v>443.8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L39"/>
  <sheetViews>
    <sheetView workbookViewId="0">
      <selection activeCell="N18" sqref="N1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8554687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65</v>
      </c>
      <c r="B2" s="54"/>
      <c r="F2" s="21">
        <v>9566.73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4.25" customHeight="1" x14ac:dyDescent="0.25">
      <c r="A4" s="36" t="s">
        <v>3</v>
      </c>
      <c r="B4" s="7" t="s">
        <v>97</v>
      </c>
      <c r="C4" s="11" t="s">
        <v>4</v>
      </c>
      <c r="D4" s="13">
        <f>H4*$F$2*10/1000</f>
        <v>133.93421999999998</v>
      </c>
      <c r="E4" s="13">
        <f>42.9+22.1</f>
        <v>65</v>
      </c>
      <c r="F4" s="13">
        <f>$F$12/$D$12*D4</f>
        <v>132.45992291278577</v>
      </c>
      <c r="G4" s="10">
        <f>F4/$F$2/10*1000</f>
        <v>1.3845893310753599</v>
      </c>
      <c r="H4" s="3">
        <v>1.4</v>
      </c>
      <c r="I4" s="17">
        <f>H4*$F$2*12/1000</f>
        <v>160.72106399999998</v>
      </c>
    </row>
    <row r="5" spans="1:12" ht="42" customHeight="1" x14ac:dyDescent="0.25">
      <c r="A5" s="36" t="s">
        <v>5</v>
      </c>
      <c r="B5" s="7" t="s">
        <v>98</v>
      </c>
      <c r="C5" s="11" t="s">
        <v>4</v>
      </c>
      <c r="D5" s="27">
        <f>H5*$F$2*10/1000</f>
        <v>260.215056</v>
      </c>
      <c r="E5" s="27"/>
      <c r="F5" s="27">
        <f>$F$12/$D$12*D5</f>
        <v>257.35070737341238</v>
      </c>
      <c r="G5" s="10">
        <f t="shared" ref="G5:G11" si="0">F5/$F$2/10*1000</f>
        <v>2.6900592718035563</v>
      </c>
      <c r="H5" s="3">
        <v>2.72</v>
      </c>
      <c r="I5" s="17">
        <f t="shared" ref="I5:I7" si="1">H5*$F$2*12/1000</f>
        <v>312.25806719999997</v>
      </c>
    </row>
    <row r="6" spans="1:12" ht="30" customHeight="1" x14ac:dyDescent="0.25">
      <c r="A6" s="19"/>
      <c r="B6" s="9" t="s">
        <v>28</v>
      </c>
      <c r="C6" s="5" t="s">
        <v>4</v>
      </c>
      <c r="D6" s="8">
        <v>16.5</v>
      </c>
      <c r="E6" s="8">
        <v>16.5</v>
      </c>
      <c r="F6" s="8">
        <v>16.5</v>
      </c>
      <c r="G6" s="10">
        <f t="shared" si="0"/>
        <v>0.17247272579031708</v>
      </c>
      <c r="I6" s="17">
        <f t="shared" si="1"/>
        <v>0</v>
      </c>
    </row>
    <row r="7" spans="1:12" ht="27.75" customHeight="1" x14ac:dyDescent="0.25">
      <c r="A7" s="19"/>
      <c r="B7" s="9" t="s">
        <v>27</v>
      </c>
      <c r="C7" s="5" t="s">
        <v>4</v>
      </c>
      <c r="D7" s="8">
        <f>H7*$F$2*10/1000</f>
        <v>14.350095</v>
      </c>
      <c r="E7" s="8">
        <f t="shared" ref="E7:E8" si="2">I7*$F$2*10/1000</f>
        <v>1647.4018120721998</v>
      </c>
      <c r="F7" s="8">
        <f>D7</f>
        <v>14.350095</v>
      </c>
      <c r="G7" s="10">
        <f t="shared" si="0"/>
        <v>0.15000000000000002</v>
      </c>
      <c r="H7" s="3">
        <v>0.15</v>
      </c>
      <c r="I7" s="17">
        <f t="shared" si="1"/>
        <v>17.220113999999999</v>
      </c>
    </row>
    <row r="8" spans="1:12" ht="25.5" x14ac:dyDescent="0.25">
      <c r="A8" s="19"/>
      <c r="B8" s="7" t="s">
        <v>8</v>
      </c>
      <c r="C8" s="11" t="s">
        <v>4</v>
      </c>
      <c r="D8" s="8">
        <f>H8*$F$2*10/1000</f>
        <v>74.999999999999986</v>
      </c>
      <c r="E8" s="8">
        <f t="shared" si="2"/>
        <v>8610.0569999999989</v>
      </c>
      <c r="F8" s="8">
        <f>D8</f>
        <v>74.999999999999986</v>
      </c>
      <c r="G8" s="10">
        <f t="shared" si="0"/>
        <v>0.78396693541053197</v>
      </c>
      <c r="H8" s="17">
        <f>90/F2/12*1000</f>
        <v>0.78396693541053208</v>
      </c>
      <c r="I8" s="17">
        <f t="shared" ref="I8:I11" si="3">H8*$F$2*12/1000</f>
        <v>89.999999999999986</v>
      </c>
    </row>
    <row r="9" spans="1:12" ht="25.5" x14ac:dyDescent="0.25">
      <c r="A9" s="36" t="s">
        <v>6</v>
      </c>
      <c r="B9" s="7" t="s">
        <v>31</v>
      </c>
      <c r="C9" s="11" t="s">
        <v>4</v>
      </c>
      <c r="D9" s="27">
        <f>H9*$F$2*12/1000</f>
        <v>489.05123759999998</v>
      </c>
      <c r="E9" s="13">
        <v>91.4</v>
      </c>
      <c r="F9" s="27">
        <f>$F$12/$D$12*D9</f>
        <v>483.66794709297204</v>
      </c>
      <c r="G9" s="10">
        <f t="shared" si="0"/>
        <v>5.0557290431837423</v>
      </c>
      <c r="H9" s="3">
        <f>4.9-0.64</f>
        <v>4.2600000000000007</v>
      </c>
      <c r="I9" s="17">
        <f t="shared" si="3"/>
        <v>489.05123759999998</v>
      </c>
    </row>
    <row r="10" spans="1:12" x14ac:dyDescent="0.25">
      <c r="A10" s="19"/>
      <c r="B10" s="9" t="s">
        <v>9</v>
      </c>
      <c r="C10" s="5" t="s">
        <v>4</v>
      </c>
      <c r="D10" s="8">
        <v>12.7</v>
      </c>
      <c r="E10" s="8">
        <v>12.7</v>
      </c>
      <c r="F10" s="8">
        <v>12.7</v>
      </c>
      <c r="G10" s="10">
        <f t="shared" si="0"/>
        <v>0.13275173439618343</v>
      </c>
      <c r="I10" s="17"/>
    </row>
    <row r="11" spans="1:12" x14ac:dyDescent="0.25">
      <c r="A11" s="36" t="s">
        <v>99</v>
      </c>
      <c r="B11" s="7" t="s">
        <v>10</v>
      </c>
      <c r="C11" s="11" t="s">
        <v>4</v>
      </c>
      <c r="D11" s="13">
        <f>H11*F2*12/1000*1.1-5.3</f>
        <v>297.77400640000002</v>
      </c>
      <c r="E11" s="19">
        <v>37.9</v>
      </c>
      <c r="F11" s="27">
        <f>$F$12/$D$12*D11</f>
        <v>294.49622309500427</v>
      </c>
      <c r="G11" s="10">
        <f t="shared" si="0"/>
        <v>3.0783373534635583</v>
      </c>
      <c r="H11" s="3">
        <v>2.4</v>
      </c>
      <c r="I11" s="17">
        <f t="shared" si="3"/>
        <v>275.52182399999998</v>
      </c>
    </row>
    <row r="12" spans="1:12" x14ac:dyDescent="0.25">
      <c r="A12" s="14"/>
      <c r="B12" s="14" t="s">
        <v>13</v>
      </c>
      <c r="C12" s="15" t="s">
        <v>4</v>
      </c>
      <c r="D12" s="16">
        <v>1181</v>
      </c>
      <c r="E12" s="16">
        <f t="shared" ref="E12" si="4">SUM(E4:E11)</f>
        <v>10480.958812072198</v>
      </c>
      <c r="F12" s="16">
        <v>1168</v>
      </c>
      <c r="G12" s="37">
        <f>G11+G9+G5+G4</f>
        <v>12.208714999526217</v>
      </c>
      <c r="H12" s="17">
        <f>SUM(H4:H11)</f>
        <v>11.713966935410534</v>
      </c>
      <c r="I12" s="18">
        <f>SUM(I4:I11)</f>
        <v>1344.7723067999998</v>
      </c>
      <c r="K12" s="18">
        <f>D11+D9+D5+D4</f>
        <v>1180.9745200000002</v>
      </c>
      <c r="L12" s="18">
        <f>F11+F9+F5+F4</f>
        <v>1167.9748004741743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12.344866009597848</v>
      </c>
      <c r="E13" s="10">
        <f t="shared" ref="E13:F13" si="5">E12/$F$2*1000/10</f>
        <v>109.55633546752338</v>
      </c>
      <c r="F13" s="10">
        <f t="shared" si="5"/>
        <v>12.20897840746002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315.70208999999994</v>
      </c>
      <c r="E14" s="8">
        <v>49.8</v>
      </c>
      <c r="F14" s="8">
        <f>D14</f>
        <v>315.70208999999994</v>
      </c>
      <c r="G14" s="10">
        <f>F14/$F$2/10*1000</f>
        <v>3.2999999999999994</v>
      </c>
      <c r="H14" s="3">
        <v>3.3</v>
      </c>
      <c r="I14" s="18">
        <f>H14*F2/1000*12</f>
        <v>378.84250799999995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1496.70209</v>
      </c>
      <c r="E15" s="8">
        <f t="shared" ref="E15:G15" si="6">E14+E12</f>
        <v>10530.758812072198</v>
      </c>
      <c r="F15" s="8">
        <f t="shared" si="6"/>
        <v>1483.70209</v>
      </c>
      <c r="G15" s="10">
        <f t="shared" si="6"/>
        <v>15.508714999526216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11.71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13.47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1496.70209</v>
      </c>
    </row>
    <row r="36" spans="1:6" x14ac:dyDescent="0.25">
      <c r="B36" s="29" t="s">
        <v>75</v>
      </c>
      <c r="C36" s="34">
        <v>1371.3</v>
      </c>
    </row>
    <row r="37" spans="1:6" x14ac:dyDescent="0.25">
      <c r="B37" s="29" t="s">
        <v>76</v>
      </c>
      <c r="C37" s="32">
        <f>F15</f>
        <v>1483.70209</v>
      </c>
    </row>
    <row r="38" spans="1:6" ht="25.5" x14ac:dyDescent="0.25">
      <c r="B38" s="30" t="s">
        <v>90</v>
      </c>
      <c r="C38" s="32">
        <f>C35-C37</f>
        <v>13</v>
      </c>
    </row>
    <row r="39" spans="1:6" x14ac:dyDescent="0.25">
      <c r="B39" s="33" t="s">
        <v>109</v>
      </c>
      <c r="C39" s="34">
        <f>579.8-17.2</f>
        <v>562.59999999999991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9"/>
  <sheetViews>
    <sheetView workbookViewId="0">
      <selection activeCell="P16" sqref="P16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7109375" style="3" customWidth="1"/>
    <col min="8" max="8" width="10" style="3" hidden="1" customWidth="1"/>
    <col min="9" max="9" width="9.140625" style="3" hidden="1" customWidth="1"/>
    <col min="10" max="10" width="9.140625" style="3" customWidth="1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66</v>
      </c>
      <c r="B2" s="54"/>
      <c r="F2" s="21">
        <v>2468.7199999999998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1.25" customHeight="1" x14ac:dyDescent="0.25">
      <c r="A4" s="36" t="s">
        <v>3</v>
      </c>
      <c r="B4" s="7" t="s">
        <v>97</v>
      </c>
      <c r="C4" s="11" t="s">
        <v>4</v>
      </c>
      <c r="D4" s="13">
        <f>H4*$F$2*12/1000*1.2</f>
        <v>49.769395199999998</v>
      </c>
      <c r="E4" s="13">
        <f>42.9+22.1</f>
        <v>65</v>
      </c>
      <c r="F4" s="13">
        <f>$F$12/$D$12*D4</f>
        <v>54.38765749599623</v>
      </c>
      <c r="G4" s="10">
        <f>F4/$F$2/10*1000</f>
        <v>2.2030711257654265</v>
      </c>
      <c r="H4" s="3">
        <v>1.4</v>
      </c>
      <c r="I4" s="17">
        <f>H4*$F$2*12/1000</f>
        <v>41.474496000000002</v>
      </c>
    </row>
    <row r="5" spans="1:12" ht="43.5" customHeight="1" x14ac:dyDescent="0.25">
      <c r="A5" s="36" t="s">
        <v>5</v>
      </c>
      <c r="B5" s="7" t="s">
        <v>98</v>
      </c>
      <c r="C5" s="11" t="s">
        <v>4</v>
      </c>
      <c r="D5" s="27">
        <f>H5*$F$2*12/1000*1.2</f>
        <v>96.694824959999991</v>
      </c>
      <c r="E5" s="4">
        <v>4.5</v>
      </c>
      <c r="F5" s="27">
        <f>$F$12/$D$12*D5</f>
        <v>105.66744884936411</v>
      </c>
      <c r="G5" s="10">
        <f t="shared" ref="G5:G11" si="0">F5/$F$2/10*1000</f>
        <v>4.2802524729156861</v>
      </c>
      <c r="H5" s="3">
        <v>2.72</v>
      </c>
      <c r="I5" s="17">
        <f t="shared" ref="I5:I6" si="1">H5*$F$2*12/1000</f>
        <v>80.579020799999995</v>
      </c>
    </row>
    <row r="6" spans="1:12" ht="32.25" customHeight="1" x14ac:dyDescent="0.25">
      <c r="A6" s="19"/>
      <c r="B6" s="9" t="s">
        <v>27</v>
      </c>
      <c r="C6" s="5" t="s">
        <v>4</v>
      </c>
      <c r="D6" s="8">
        <v>3.1</v>
      </c>
      <c r="E6" s="8">
        <v>3.1</v>
      </c>
      <c r="F6" s="8">
        <v>3.1</v>
      </c>
      <c r="G6" s="10">
        <f t="shared" si="0"/>
        <v>0.12557114618101689</v>
      </c>
      <c r="H6" s="3">
        <v>0.21</v>
      </c>
      <c r="I6" s="17">
        <f t="shared" si="1"/>
        <v>6.2211743999999998</v>
      </c>
    </row>
    <row r="7" spans="1:12" ht="25.5" x14ac:dyDescent="0.25">
      <c r="A7" s="19"/>
      <c r="B7" s="9" t="s">
        <v>8</v>
      </c>
      <c r="C7" s="5" t="s">
        <v>4</v>
      </c>
      <c r="D7" s="8">
        <f>22.5</f>
        <v>22.5</v>
      </c>
      <c r="E7" s="8">
        <f t="shared" ref="E7:F7" si="2">22.5</f>
        <v>22.5</v>
      </c>
      <c r="F7" s="8">
        <f t="shared" si="2"/>
        <v>22.5</v>
      </c>
      <c r="G7" s="10">
        <f t="shared" si="0"/>
        <v>0.91140348034609031</v>
      </c>
      <c r="H7" s="17">
        <v>0.26</v>
      </c>
      <c r="I7" s="17">
        <v>30</v>
      </c>
    </row>
    <row r="8" spans="1:12" ht="31.5" customHeight="1" x14ac:dyDescent="0.25">
      <c r="A8" s="19"/>
      <c r="B8" s="7" t="s">
        <v>7</v>
      </c>
      <c r="C8" s="11" t="s">
        <v>4</v>
      </c>
      <c r="D8" s="8">
        <f>74.6/9*10</f>
        <v>82.888888888888886</v>
      </c>
      <c r="E8" s="8">
        <f t="shared" ref="E8:F8" si="3">74.6/9*10</f>
        <v>82.888888888888886</v>
      </c>
      <c r="F8" s="8">
        <f t="shared" si="3"/>
        <v>82.888888888888886</v>
      </c>
      <c r="G8" s="10">
        <f t="shared" si="0"/>
        <v>3.3575654140157201</v>
      </c>
      <c r="H8" s="3">
        <v>3.51</v>
      </c>
      <c r="I8" s="17">
        <f t="shared" ref="I8" si="4">H8*$F$2*12/1000</f>
        <v>103.9824864</v>
      </c>
    </row>
    <row r="9" spans="1:12" ht="25.5" x14ac:dyDescent="0.25">
      <c r="A9" s="19" t="s">
        <v>5</v>
      </c>
      <c r="B9" s="7" t="s">
        <v>31</v>
      </c>
      <c r="C9" s="11" t="s">
        <v>4</v>
      </c>
      <c r="D9" s="27">
        <f>H9*$F$2*12/1000*1.2-5.9</f>
        <v>199.93199871999997</v>
      </c>
      <c r="E9" s="13">
        <v>91.4</v>
      </c>
      <c r="F9" s="27">
        <f>$F$12/$D$12*D9</f>
        <v>218.48433209156852</v>
      </c>
      <c r="G9" s="10">
        <f t="shared" si="0"/>
        <v>8.8501058075265124</v>
      </c>
      <c r="H9" s="3">
        <v>5.79</v>
      </c>
      <c r="I9" s="17">
        <f t="shared" ref="I9:I11" si="5">H9*$F$2*12/1000</f>
        <v>171.52666559999997</v>
      </c>
    </row>
    <row r="10" spans="1:12" x14ac:dyDescent="0.25">
      <c r="A10" s="19"/>
      <c r="B10" s="9" t="s">
        <v>9</v>
      </c>
      <c r="C10" s="5" t="s">
        <v>4</v>
      </c>
      <c r="D10" s="8">
        <v>1.3</v>
      </c>
      <c r="E10" s="8">
        <v>3.1</v>
      </c>
      <c r="F10" s="8">
        <v>3.1</v>
      </c>
      <c r="G10" s="10">
        <f t="shared" si="0"/>
        <v>0.12557114618101689</v>
      </c>
      <c r="I10" s="17"/>
    </row>
    <row r="11" spans="1:12" x14ac:dyDescent="0.25">
      <c r="A11" s="19" t="s">
        <v>6</v>
      </c>
      <c r="B11" s="7" t="s">
        <v>10</v>
      </c>
      <c r="C11" s="11" t="s">
        <v>4</v>
      </c>
      <c r="D11" s="27">
        <f>H11*$F$2*12/1000*1.1</f>
        <v>78.209049599999986</v>
      </c>
      <c r="E11" s="19">
        <v>37.9</v>
      </c>
      <c r="F11" s="27">
        <f>$F$12/$D$12*D11</f>
        <v>85.466318922279783</v>
      </c>
      <c r="G11" s="10">
        <f t="shared" si="0"/>
        <v>3.461968911917098</v>
      </c>
      <c r="H11" s="3">
        <v>2.4</v>
      </c>
      <c r="I11" s="17">
        <f t="shared" si="5"/>
        <v>71.099135999999987</v>
      </c>
    </row>
    <row r="12" spans="1:12" x14ac:dyDescent="0.25">
      <c r="A12" s="14"/>
      <c r="B12" s="14" t="s">
        <v>13</v>
      </c>
      <c r="C12" s="15" t="s">
        <v>4</v>
      </c>
      <c r="D12" s="16">
        <v>424.6</v>
      </c>
      <c r="E12" s="16">
        <f t="shared" ref="E12" si="6">E11+E10+E9+E8+E7+E6+E5+E4</f>
        <v>310.38888888888891</v>
      </c>
      <c r="F12" s="16">
        <v>464</v>
      </c>
      <c r="G12" s="37">
        <f>G11+G9+G5+G4</f>
        <v>18.795398318124725</v>
      </c>
      <c r="H12" s="17">
        <f>SUM(H4:H11)</f>
        <v>16.29</v>
      </c>
      <c r="I12" s="17">
        <f>SUM(I4:I11)</f>
        <v>504.88297919999997</v>
      </c>
      <c r="K12" s="18">
        <f>D11+D9+D5+D4</f>
        <v>424.60526848000001</v>
      </c>
      <c r="L12" s="18">
        <f>F11+F9+F5+F4</f>
        <v>464.00575735920864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17.199196344664443</v>
      </c>
      <c r="E13" s="10">
        <f t="shared" ref="E13:F13" si="7">E12/$F$2*1000/10</f>
        <v>12.572867270848411</v>
      </c>
      <c r="F13" s="10">
        <f t="shared" si="7"/>
        <v>18.795165105803818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81.467759999999998</v>
      </c>
      <c r="E14" s="8">
        <f t="shared" ref="E14" si="8">G2*I14/1000*10</f>
        <v>0</v>
      </c>
      <c r="F14" s="8">
        <f>D14</f>
        <v>81.467759999999998</v>
      </c>
      <c r="G14" s="10">
        <f>F14/$F$2/10*1000</f>
        <v>3.3</v>
      </c>
      <c r="H14" s="3">
        <v>3.3</v>
      </c>
      <c r="I14" s="18">
        <f>H14*F2/1000*12</f>
        <v>97.76131199999999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506.06776000000002</v>
      </c>
      <c r="E15" s="8">
        <f t="shared" ref="E15:G15" si="9">E14+E12</f>
        <v>310.38888888888891</v>
      </c>
      <c r="F15" s="8">
        <f t="shared" si="9"/>
        <v>545.46776</v>
      </c>
      <c r="G15" s="10">
        <f t="shared" si="9"/>
        <v>22.095398318124726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16.29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18.73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506.06776000000002</v>
      </c>
    </row>
    <row r="36" spans="1:6" x14ac:dyDescent="0.25">
      <c r="B36" s="29" t="s">
        <v>75</v>
      </c>
      <c r="C36" s="34">
        <v>472.8</v>
      </c>
    </row>
    <row r="37" spans="1:6" x14ac:dyDescent="0.25">
      <c r="B37" s="29" t="s">
        <v>76</v>
      </c>
      <c r="C37" s="32">
        <f>F15</f>
        <v>545.46776</v>
      </c>
    </row>
    <row r="38" spans="1:6" ht="25.5" x14ac:dyDescent="0.25">
      <c r="B38" s="30" t="s">
        <v>95</v>
      </c>
      <c r="C38" s="32">
        <f>C35-C37</f>
        <v>-39.399999999999977</v>
      </c>
    </row>
    <row r="39" spans="1:6" x14ac:dyDescent="0.25">
      <c r="B39" s="33" t="s">
        <v>109</v>
      </c>
      <c r="C39" s="34">
        <f>345.9-3.2</f>
        <v>342.7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37"/>
  <sheetViews>
    <sheetView workbookViewId="0">
      <selection activeCell="D11" sqref="D11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710937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67</v>
      </c>
      <c r="B2" s="54"/>
      <c r="F2" s="25">
        <v>5698.77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42" customHeight="1" x14ac:dyDescent="0.25">
      <c r="A4" s="36" t="s">
        <v>3</v>
      </c>
      <c r="B4" s="7" t="s">
        <v>97</v>
      </c>
      <c r="C4" s="11" t="s">
        <v>4</v>
      </c>
      <c r="D4" s="13">
        <f>H4*$F$2*12/1000*1.1</f>
        <v>105.31326960000001</v>
      </c>
      <c r="E4" s="13">
        <f>42.9+22.1</f>
        <v>65</v>
      </c>
      <c r="F4" s="13">
        <f>$F$10/$D$10*D4</f>
        <v>47.880081240809226</v>
      </c>
      <c r="G4" s="10">
        <f>F4/$F$2/10*1000</f>
        <v>0.84018272786599957</v>
      </c>
      <c r="H4" s="3">
        <v>1.4</v>
      </c>
      <c r="I4" s="17">
        <f>H4*$F$2*12/1000</f>
        <v>95.739336000000009</v>
      </c>
    </row>
    <row r="5" spans="1:12" ht="40.5" customHeight="1" x14ac:dyDescent="0.25">
      <c r="A5" s="36" t="s">
        <v>5</v>
      </c>
      <c r="B5" s="7" t="s">
        <v>98</v>
      </c>
      <c r="C5" s="11" t="s">
        <v>4</v>
      </c>
      <c r="D5" s="27">
        <f>H5*$F$2*12/1000*1.1</f>
        <v>204.60863808000008</v>
      </c>
      <c r="E5" s="27"/>
      <c r="F5" s="27">
        <f>$F$10/$D$10*D5</f>
        <v>93.024157839286531</v>
      </c>
      <c r="G5" s="10">
        <f t="shared" ref="G5:G9" si="0">F5/$F$2/10*1000</f>
        <v>1.6323550141396568</v>
      </c>
      <c r="H5" s="3">
        <v>2.72</v>
      </c>
      <c r="I5" s="17">
        <f t="shared" ref="I5:I6" si="1">H5*$F$2*12/1000</f>
        <v>186.00785280000005</v>
      </c>
    </row>
    <row r="6" spans="1:12" ht="29.25" customHeight="1" x14ac:dyDescent="0.25">
      <c r="A6" s="19"/>
      <c r="B6" s="9" t="s">
        <v>27</v>
      </c>
      <c r="C6" s="5" t="s">
        <v>4</v>
      </c>
      <c r="D6" s="8">
        <v>5.5</v>
      </c>
      <c r="E6" s="8">
        <v>5.5</v>
      </c>
      <c r="F6" s="8">
        <v>5.5</v>
      </c>
      <c r="G6" s="10">
        <f t="shared" si="0"/>
        <v>9.6512054355589003E-2</v>
      </c>
      <c r="H6" s="3">
        <v>0.16</v>
      </c>
      <c r="I6" s="17">
        <f t="shared" si="1"/>
        <v>10.9416384</v>
      </c>
    </row>
    <row r="7" spans="1:12" ht="25.5" x14ac:dyDescent="0.25">
      <c r="A7" s="19" t="s">
        <v>5</v>
      </c>
      <c r="B7" s="7" t="s">
        <v>31</v>
      </c>
      <c r="C7" s="11" t="s">
        <v>4</v>
      </c>
      <c r="D7" s="27">
        <f>H7*$F$2*12/1000</f>
        <v>426.72389760000004</v>
      </c>
      <c r="E7" s="13">
        <v>91.4</v>
      </c>
      <c r="F7" s="27">
        <f>$F$10/$D$10*D7</f>
        <v>194.00760191081142</v>
      </c>
      <c r="G7" s="10">
        <f t="shared" si="0"/>
        <v>3.4043767674570375</v>
      </c>
      <c r="H7" s="3">
        <v>6.24</v>
      </c>
      <c r="I7" s="17">
        <f t="shared" ref="I7:I9" si="2">H7*$F$2*12/1000</f>
        <v>426.72389760000004</v>
      </c>
    </row>
    <row r="8" spans="1:12" x14ac:dyDescent="0.25">
      <c r="A8" s="19"/>
      <c r="B8" s="4" t="s">
        <v>9</v>
      </c>
      <c r="C8" s="5" t="s">
        <v>4</v>
      </c>
      <c r="D8" s="8">
        <v>8.5</v>
      </c>
      <c r="E8" s="8">
        <v>8.5</v>
      </c>
      <c r="F8" s="8">
        <v>8.5</v>
      </c>
      <c r="G8" s="10">
        <f t="shared" si="0"/>
        <v>0.14915499309500121</v>
      </c>
      <c r="I8" s="17"/>
    </row>
    <row r="9" spans="1:12" x14ac:dyDescent="0.25">
      <c r="A9" s="19" t="s">
        <v>6</v>
      </c>
      <c r="B9" s="7" t="s">
        <v>10</v>
      </c>
      <c r="C9" s="11" t="s">
        <v>4</v>
      </c>
      <c r="D9" s="27">
        <f>H9*$F$2*12/1000*1.1+2.2</f>
        <v>182.73703359999999</v>
      </c>
      <c r="E9" s="19">
        <v>37.9</v>
      </c>
      <c r="F9" s="27">
        <f>$F$10/$D$10*D9</f>
        <v>83.080356803132474</v>
      </c>
      <c r="G9" s="10">
        <f t="shared" si="0"/>
        <v>1.4578647112119365</v>
      </c>
      <c r="H9" s="3">
        <v>2.4</v>
      </c>
      <c r="I9" s="17">
        <f t="shared" si="2"/>
        <v>164.12457599999999</v>
      </c>
    </row>
    <row r="10" spans="1:12" x14ac:dyDescent="0.25">
      <c r="A10" s="14"/>
      <c r="B10" s="14" t="s">
        <v>13</v>
      </c>
      <c r="C10" s="15" t="s">
        <v>4</v>
      </c>
      <c r="D10" s="16">
        <v>919.4</v>
      </c>
      <c r="E10" s="16">
        <f t="shared" ref="E10" si="3">SUM(E4:E9)</f>
        <v>208.3</v>
      </c>
      <c r="F10" s="16">
        <v>418</v>
      </c>
      <c r="G10" s="37">
        <f>G9+G7+G5+G4</f>
        <v>7.3347792206746307</v>
      </c>
      <c r="H10" s="3">
        <f>H9+H7+H4</f>
        <v>10.040000000000001</v>
      </c>
      <c r="I10" s="18">
        <f>SUM(I4:I9)</f>
        <v>883.53730080000014</v>
      </c>
      <c r="K10" s="18">
        <f>D9+D7+D5+D4</f>
        <v>919.38283888000012</v>
      </c>
      <c r="L10" s="18">
        <f>F9+F7+F5+F4</f>
        <v>417.99219779403961</v>
      </c>
    </row>
    <row r="11" spans="1:12" ht="18" customHeight="1" x14ac:dyDescent="0.25">
      <c r="A11" s="4"/>
      <c r="B11" s="9" t="s">
        <v>12</v>
      </c>
      <c r="C11" s="5" t="s">
        <v>23</v>
      </c>
      <c r="D11" s="10">
        <f>D10/$F$2*1000/10</f>
        <v>16.133305959005188</v>
      </c>
      <c r="E11" s="10">
        <f t="shared" ref="E11:F11" si="4">E10/$F$2*1000/10</f>
        <v>3.6551747131398526</v>
      </c>
      <c r="F11" s="10">
        <f t="shared" si="4"/>
        <v>7.3349161310247641</v>
      </c>
      <c r="G11" s="10"/>
      <c r="I11" s="18"/>
    </row>
    <row r="12" spans="1:12" ht="15.75" customHeight="1" x14ac:dyDescent="0.25">
      <c r="A12" s="4"/>
      <c r="B12" s="9" t="s">
        <v>24</v>
      </c>
      <c r="C12" s="5" t="s">
        <v>23</v>
      </c>
      <c r="D12" s="8">
        <f>F2*H12/1000*10</f>
        <v>188.05940999999996</v>
      </c>
      <c r="E12" s="8">
        <f>G2*I12/1000*10</f>
        <v>0</v>
      </c>
      <c r="F12" s="8">
        <f>D12</f>
        <v>188.05940999999996</v>
      </c>
      <c r="G12" s="10">
        <f>F12/$F$2/10*1000</f>
        <v>3.2999999999999985</v>
      </c>
      <c r="H12" s="3">
        <v>3.3</v>
      </c>
      <c r="I12" s="18">
        <f>H12*F2/1000*12</f>
        <v>225.67129199999997</v>
      </c>
    </row>
    <row r="13" spans="1:12" x14ac:dyDescent="0.25">
      <c r="A13" s="4"/>
      <c r="B13" s="4" t="s">
        <v>14</v>
      </c>
      <c r="C13" s="5" t="s">
        <v>4</v>
      </c>
      <c r="D13" s="8">
        <f>D12+D10</f>
        <v>1107.4594099999999</v>
      </c>
      <c r="E13" s="8">
        <f t="shared" ref="E13:F13" si="5">E12+E10</f>
        <v>208.3</v>
      </c>
      <c r="F13" s="8">
        <f t="shared" si="5"/>
        <v>606.05940999999996</v>
      </c>
      <c r="G13" s="10">
        <f t="shared" ref="G13:I13" si="6">G12+G10</f>
        <v>10.634779220674629</v>
      </c>
      <c r="H13" s="8">
        <f t="shared" si="6"/>
        <v>13.34</v>
      </c>
      <c r="I13" s="8">
        <f t="shared" si="6"/>
        <v>1109.2085928000001</v>
      </c>
    </row>
    <row r="14" spans="1:12" ht="25.5" customHeight="1" x14ac:dyDescent="0.25">
      <c r="A14" s="4"/>
      <c r="B14" s="47" t="s">
        <v>32</v>
      </c>
      <c r="C14" s="48"/>
      <c r="D14" s="48"/>
      <c r="E14" s="48"/>
      <c r="F14" s="49"/>
    </row>
    <row r="15" spans="1:12" x14ac:dyDescent="0.25">
      <c r="A15" s="4"/>
      <c r="B15" s="4" t="s">
        <v>104</v>
      </c>
      <c r="C15" s="5" t="s">
        <v>15</v>
      </c>
      <c r="D15" s="44">
        <v>17.03</v>
      </c>
      <c r="E15" s="45"/>
      <c r="F15" s="46"/>
      <c r="J15" s="28"/>
    </row>
    <row r="16" spans="1:12" x14ac:dyDescent="0.25">
      <c r="A16" s="4"/>
      <c r="B16" s="4" t="s">
        <v>105</v>
      </c>
      <c r="C16" s="5" t="s">
        <v>15</v>
      </c>
      <c r="D16" s="44">
        <v>17.59</v>
      </c>
      <c r="E16" s="45"/>
      <c r="F16" s="46"/>
    </row>
    <row r="17" spans="1:6" ht="14.25" x14ac:dyDescent="0.25">
      <c r="A17" s="4"/>
      <c r="B17" s="47" t="s">
        <v>16</v>
      </c>
      <c r="C17" s="48"/>
      <c r="D17" s="48"/>
      <c r="E17" s="48"/>
      <c r="F17" s="49"/>
    </row>
    <row r="18" spans="1:6" x14ac:dyDescent="0.25">
      <c r="A18" s="4"/>
      <c r="B18" s="4" t="s">
        <v>104</v>
      </c>
      <c r="C18" s="5" t="s">
        <v>15</v>
      </c>
      <c r="D18" s="44">
        <v>21.65</v>
      </c>
      <c r="E18" s="45"/>
      <c r="F18" s="46"/>
    </row>
    <row r="19" spans="1:6" x14ac:dyDescent="0.25">
      <c r="A19" s="4"/>
      <c r="B19" s="4" t="s">
        <v>105</v>
      </c>
      <c r="C19" s="5" t="s">
        <v>15</v>
      </c>
      <c r="D19" s="44">
        <v>22.37</v>
      </c>
      <c r="E19" s="45"/>
      <c r="F19" s="46"/>
    </row>
    <row r="20" spans="1:6" ht="14.25" x14ac:dyDescent="0.25">
      <c r="A20" s="4"/>
      <c r="B20" s="47" t="s">
        <v>17</v>
      </c>
      <c r="C20" s="48"/>
      <c r="D20" s="48"/>
      <c r="E20" s="48"/>
      <c r="F20" s="49"/>
    </row>
    <row r="21" spans="1:6" x14ac:dyDescent="0.25">
      <c r="A21" s="4"/>
      <c r="B21" s="4" t="s">
        <v>104</v>
      </c>
      <c r="C21" s="5" t="s">
        <v>15</v>
      </c>
      <c r="D21" s="44">
        <v>106.36</v>
      </c>
      <c r="E21" s="45"/>
      <c r="F21" s="46"/>
    </row>
    <row r="22" spans="1:6" x14ac:dyDescent="0.25">
      <c r="A22" s="4"/>
      <c r="B22" s="4" t="s">
        <v>106</v>
      </c>
      <c r="C22" s="5" t="s">
        <v>15</v>
      </c>
      <c r="D22" s="44">
        <v>16.77</v>
      </c>
      <c r="E22" s="45"/>
      <c r="F22" s="46"/>
    </row>
    <row r="23" spans="1:6" x14ac:dyDescent="0.25">
      <c r="A23" s="4"/>
      <c r="B23" s="38" t="s">
        <v>107</v>
      </c>
      <c r="C23" s="5" t="s">
        <v>108</v>
      </c>
      <c r="D23" s="44">
        <v>1410.61</v>
      </c>
      <c r="E23" s="45"/>
      <c r="F23" s="46"/>
    </row>
    <row r="24" spans="1:6" ht="14.25" x14ac:dyDescent="0.25">
      <c r="A24" s="4"/>
      <c r="B24" s="47" t="s">
        <v>18</v>
      </c>
      <c r="C24" s="48"/>
      <c r="D24" s="48"/>
      <c r="E24" s="48"/>
      <c r="F24" s="49"/>
    </row>
    <row r="25" spans="1:6" x14ac:dyDescent="0.25">
      <c r="A25" s="4"/>
      <c r="B25" s="4" t="s">
        <v>104</v>
      </c>
      <c r="C25" s="5" t="s">
        <v>22</v>
      </c>
      <c r="D25" s="52">
        <f>1296.94*1.18</f>
        <v>1530.3892000000001</v>
      </c>
      <c r="E25" s="50"/>
      <c r="F25" s="51"/>
    </row>
    <row r="26" spans="1:6" x14ac:dyDescent="0.25">
      <c r="A26" s="4"/>
      <c r="B26" s="4" t="s">
        <v>105</v>
      </c>
      <c r="C26" s="5" t="s">
        <v>22</v>
      </c>
      <c r="D26" s="52">
        <v>1580.89</v>
      </c>
      <c r="E26" s="50"/>
      <c r="F26" s="51"/>
    </row>
    <row r="27" spans="1:6" ht="18" customHeight="1" x14ac:dyDescent="0.25">
      <c r="A27" s="4"/>
      <c r="B27" s="47" t="s">
        <v>19</v>
      </c>
      <c r="C27" s="48"/>
      <c r="D27" s="48"/>
      <c r="E27" s="48"/>
      <c r="F27" s="49"/>
    </row>
    <row r="28" spans="1:6" ht="18" customHeight="1" x14ac:dyDescent="0.25">
      <c r="A28" s="4"/>
      <c r="B28" s="4" t="s">
        <v>20</v>
      </c>
      <c r="C28" s="5" t="s">
        <v>23</v>
      </c>
      <c r="D28" s="44">
        <v>12.92</v>
      </c>
      <c r="E28" s="45"/>
      <c r="F28" s="46"/>
    </row>
    <row r="29" spans="1:6" ht="18" customHeight="1" x14ac:dyDescent="0.25">
      <c r="A29" s="4"/>
      <c r="B29" s="4" t="s">
        <v>105</v>
      </c>
      <c r="C29" s="5" t="s">
        <v>23</v>
      </c>
      <c r="D29" s="50">
        <v>18.25</v>
      </c>
      <c r="E29" s="50"/>
      <c r="F29" s="51"/>
    </row>
    <row r="30" spans="1:6" ht="18" customHeight="1" x14ac:dyDescent="0.25">
      <c r="A30" s="4"/>
      <c r="B30" s="47" t="s">
        <v>24</v>
      </c>
      <c r="C30" s="48"/>
      <c r="D30" s="48"/>
      <c r="E30" s="48"/>
      <c r="F30" s="49"/>
    </row>
    <row r="31" spans="1:6" ht="18" customHeight="1" x14ac:dyDescent="0.25">
      <c r="A31" s="4"/>
      <c r="B31" s="4" t="s">
        <v>29</v>
      </c>
      <c r="C31" s="5" t="s">
        <v>23</v>
      </c>
      <c r="D31" s="52">
        <v>3.3</v>
      </c>
      <c r="E31" s="50"/>
      <c r="F31" s="51"/>
    </row>
    <row r="33" spans="2:3" x14ac:dyDescent="0.25">
      <c r="B33" s="29" t="s">
        <v>74</v>
      </c>
      <c r="C33" s="32">
        <f>D10</f>
        <v>919.4</v>
      </c>
    </row>
    <row r="34" spans="2:3" x14ac:dyDescent="0.25">
      <c r="B34" s="29" t="s">
        <v>75</v>
      </c>
      <c r="C34" s="34">
        <v>1046.4000000000001</v>
      </c>
    </row>
    <row r="35" spans="2:3" x14ac:dyDescent="0.25">
      <c r="B35" s="29" t="s">
        <v>76</v>
      </c>
      <c r="C35" s="32">
        <f>F13</f>
        <v>606.05940999999996</v>
      </c>
    </row>
    <row r="36" spans="2:3" ht="25.5" x14ac:dyDescent="0.25">
      <c r="B36" s="30" t="s">
        <v>96</v>
      </c>
      <c r="C36" s="32">
        <f>C33-C35</f>
        <v>313.34059000000002</v>
      </c>
    </row>
    <row r="37" spans="2:3" x14ac:dyDescent="0.25">
      <c r="B37" s="33" t="s">
        <v>109</v>
      </c>
      <c r="C37" s="34">
        <f>345.8-16.9</f>
        <v>328.90000000000003</v>
      </c>
    </row>
  </sheetData>
  <mergeCells count="20">
    <mergeCell ref="D22:F22"/>
    <mergeCell ref="B17:F17"/>
    <mergeCell ref="D18:F18"/>
    <mergeCell ref="D19:F19"/>
    <mergeCell ref="B20:F20"/>
    <mergeCell ref="D21:F21"/>
    <mergeCell ref="A2:B2"/>
    <mergeCell ref="A1:G1"/>
    <mergeCell ref="B14:F14"/>
    <mergeCell ref="D15:F15"/>
    <mergeCell ref="D16:F16"/>
    <mergeCell ref="D28:F28"/>
    <mergeCell ref="D29:F29"/>
    <mergeCell ref="B30:F30"/>
    <mergeCell ref="D31:F31"/>
    <mergeCell ref="D23:F23"/>
    <mergeCell ref="B24:F24"/>
    <mergeCell ref="D25:F25"/>
    <mergeCell ref="D26:F26"/>
    <mergeCell ref="B27:F27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9"/>
  <sheetViews>
    <sheetView workbookViewId="0">
      <selection activeCell="O21" sqref="O21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4.2851562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0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68</v>
      </c>
      <c r="B2" s="54"/>
      <c r="F2" s="21">
        <v>9848.15</v>
      </c>
    </row>
    <row r="3" spans="1:12" ht="25.5" x14ac:dyDescent="0.25">
      <c r="A3" s="4" t="s">
        <v>0</v>
      </c>
      <c r="B3" s="4" t="s">
        <v>1</v>
      </c>
      <c r="C3" s="5" t="s">
        <v>2</v>
      </c>
      <c r="D3" s="19" t="s">
        <v>25</v>
      </c>
      <c r="E3" s="4" t="s">
        <v>11</v>
      </c>
      <c r="F3" s="19" t="s">
        <v>26</v>
      </c>
      <c r="G3" s="11" t="s">
        <v>103</v>
      </c>
    </row>
    <row r="4" spans="1:12" ht="39.75" customHeight="1" x14ac:dyDescent="0.25">
      <c r="A4" s="36" t="s">
        <v>3</v>
      </c>
      <c r="B4" s="7" t="s">
        <v>97</v>
      </c>
      <c r="C4" s="11" t="s">
        <v>4</v>
      </c>
      <c r="D4" s="13">
        <f>H4*$F$2*10/1000*1.1-2.9</f>
        <v>148.76150999999999</v>
      </c>
      <c r="E4" s="13">
        <f>42.9+22.1</f>
        <v>65</v>
      </c>
      <c r="F4" s="13">
        <f>$F$12/$D$12*D4+0.1</f>
        <v>153.71123617052663</v>
      </c>
      <c r="G4" s="10">
        <f>F4/$F$2/10*1000</f>
        <v>1.5608133118456424</v>
      </c>
      <c r="H4" s="3">
        <v>1.4</v>
      </c>
      <c r="I4" s="17">
        <f>H4*$F$2*12/1000</f>
        <v>165.44891999999999</v>
      </c>
    </row>
    <row r="5" spans="1:12" ht="39.75" customHeight="1" x14ac:dyDescent="0.25">
      <c r="A5" s="36" t="s">
        <v>5</v>
      </c>
      <c r="B5" s="7" t="s">
        <v>98</v>
      </c>
      <c r="C5" s="11" t="s">
        <v>4</v>
      </c>
      <c r="D5" s="27">
        <f>H5*$F$2*10/1000*1.1</f>
        <v>294.65664800000002</v>
      </c>
      <c r="E5" s="27"/>
      <c r="F5" s="27">
        <f>$F$12/$D$12*D5</f>
        <v>304.26265466883029</v>
      </c>
      <c r="G5" s="10">
        <f t="shared" ref="G5:G11" si="0">F5/$F$2/10*1000</f>
        <v>3.0895412302699525</v>
      </c>
      <c r="H5" s="3">
        <v>2.72</v>
      </c>
      <c r="I5" s="17">
        <f t="shared" ref="I5" si="1">H5*$F$2*12/1000</f>
        <v>321.44361600000002</v>
      </c>
    </row>
    <row r="6" spans="1:12" ht="30" customHeight="1" x14ac:dyDescent="0.25">
      <c r="A6" s="19"/>
      <c r="B6" s="9" t="s">
        <v>28</v>
      </c>
      <c r="C6" s="5" t="s">
        <v>4</v>
      </c>
      <c r="D6" s="8">
        <v>12</v>
      </c>
      <c r="E6" s="8">
        <v>12</v>
      </c>
      <c r="F6" s="8">
        <v>12</v>
      </c>
      <c r="G6" s="10">
        <f t="shared" si="0"/>
        <v>0.12185029675624355</v>
      </c>
      <c r="I6" s="17"/>
    </row>
    <row r="7" spans="1:12" ht="25.5" x14ac:dyDescent="0.25">
      <c r="A7" s="19"/>
      <c r="B7" s="7" t="s">
        <v>8</v>
      </c>
      <c r="C7" s="11" t="s">
        <v>4</v>
      </c>
      <c r="D7" s="8">
        <v>22.5</v>
      </c>
      <c r="E7" s="8">
        <v>22.5</v>
      </c>
      <c r="F7" s="8">
        <v>22.5</v>
      </c>
      <c r="G7" s="10">
        <f t="shared" si="0"/>
        <v>0.22846930641795671</v>
      </c>
      <c r="H7" s="17">
        <v>0.28000000000000003</v>
      </c>
      <c r="I7" s="17">
        <f t="shared" ref="I7:I11" si="2">H7*$F$2*12/1000</f>
        <v>33.089784000000002</v>
      </c>
    </row>
    <row r="8" spans="1:12" ht="31.5" hidden="1" customHeight="1" x14ac:dyDescent="0.25">
      <c r="A8" s="19"/>
      <c r="B8" s="7" t="s">
        <v>7</v>
      </c>
      <c r="C8" s="11" t="s">
        <v>4</v>
      </c>
      <c r="D8" s="27">
        <f t="shared" ref="D8" si="3">H8*$F$2*12/1000</f>
        <v>0</v>
      </c>
      <c r="E8" s="13"/>
      <c r="F8" s="27">
        <f>$F$15/$D$15*D8</f>
        <v>0</v>
      </c>
      <c r="G8" s="10">
        <f t="shared" si="0"/>
        <v>0</v>
      </c>
      <c r="I8" s="17">
        <f t="shared" si="2"/>
        <v>0</v>
      </c>
    </row>
    <row r="9" spans="1:12" ht="25.5" x14ac:dyDescent="0.25">
      <c r="A9" s="19" t="s">
        <v>5</v>
      </c>
      <c r="B9" s="7" t="s">
        <v>31</v>
      </c>
      <c r="C9" s="11" t="s">
        <v>4</v>
      </c>
      <c r="D9" s="27">
        <f>H9*$F$2*10/1000*1.1</f>
        <v>675.97701600000005</v>
      </c>
      <c r="E9" s="13">
        <v>91.4</v>
      </c>
      <c r="F9" s="27">
        <f>$F$12/$D$12*D9</f>
        <v>698.0143254167283</v>
      </c>
      <c r="G9" s="10">
        <f t="shared" si="0"/>
        <v>7.0877710576781254</v>
      </c>
      <c r="H9" s="3">
        <v>6.24</v>
      </c>
      <c r="I9" s="17">
        <f t="shared" si="2"/>
        <v>737.42947199999992</v>
      </c>
    </row>
    <row r="10" spans="1:12" ht="16.5" customHeight="1" x14ac:dyDescent="0.25">
      <c r="A10" s="19"/>
      <c r="B10" s="9" t="s">
        <v>9</v>
      </c>
      <c r="C10" s="5" t="s">
        <v>4</v>
      </c>
      <c r="D10" s="8">
        <v>12.3</v>
      </c>
      <c r="E10" s="8">
        <v>12.3</v>
      </c>
      <c r="F10" s="8">
        <v>12.3</v>
      </c>
      <c r="G10" s="10">
        <f t="shared" si="0"/>
        <v>0.12489655417514967</v>
      </c>
      <c r="I10" s="17"/>
    </row>
    <row r="11" spans="1:12" x14ac:dyDescent="0.25">
      <c r="A11" s="19" t="s">
        <v>6</v>
      </c>
      <c r="B11" s="7" t="s">
        <v>10</v>
      </c>
      <c r="C11" s="11" t="s">
        <v>4</v>
      </c>
      <c r="D11" s="27">
        <f>H11*$F$2*10/1000</f>
        <v>236.35559999999998</v>
      </c>
      <c r="E11" s="19">
        <v>37.9</v>
      </c>
      <c r="F11" s="27">
        <f>$F$12/$D$12*D11</f>
        <v>244.06095294291194</v>
      </c>
      <c r="G11" s="10">
        <f t="shared" si="0"/>
        <v>2.4782416285587847</v>
      </c>
      <c r="H11" s="3">
        <v>2.4</v>
      </c>
      <c r="I11" s="17">
        <f t="shared" si="2"/>
        <v>283.62671999999998</v>
      </c>
    </row>
    <row r="12" spans="1:12" x14ac:dyDescent="0.25">
      <c r="A12" s="14"/>
      <c r="B12" s="14" t="s">
        <v>13</v>
      </c>
      <c r="C12" s="15" t="s">
        <v>4</v>
      </c>
      <c r="D12" s="16">
        <v>1355.8</v>
      </c>
      <c r="E12" s="16">
        <f>E11+E9+E4</f>
        <v>194.3</v>
      </c>
      <c r="F12" s="16">
        <v>1400</v>
      </c>
      <c r="G12" s="37">
        <f>G11+G9+G5+G4</f>
        <v>14.216367228352505</v>
      </c>
      <c r="H12" s="17">
        <f>SUM(H4:H11)</f>
        <v>13.040000000000001</v>
      </c>
      <c r="I12" s="17">
        <f>SUM(I4:I11)</f>
        <v>1541.0385119999999</v>
      </c>
      <c r="K12" s="18">
        <f>D11+D9+D5+D4</f>
        <v>1355.7507740000001</v>
      </c>
      <c r="L12" s="18">
        <f>F11+F9+F5+F4</f>
        <v>1400.0491691989973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13.767052695176252</v>
      </c>
      <c r="E13" s="10">
        <f t="shared" ref="E13:F13" si="4">E12/$F$2*1000/10</f>
        <v>1.9729593883115104</v>
      </c>
      <c r="F13" s="10">
        <f t="shared" si="4"/>
        <v>14.21586795489508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324.98894999999999</v>
      </c>
      <c r="E14" s="8">
        <v>49.8</v>
      </c>
      <c r="F14" s="27">
        <f>D14</f>
        <v>324.98894999999999</v>
      </c>
      <c r="G14" s="10">
        <f>F14/$F$2/10*1000</f>
        <v>3.3</v>
      </c>
      <c r="H14" s="3">
        <v>3.3</v>
      </c>
      <c r="I14" s="18">
        <f>H14*F2/1000*12</f>
        <v>389.98673999999994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1680.7889499999999</v>
      </c>
      <c r="E15" s="8">
        <f t="shared" ref="E15:G15" si="5">E14+E12</f>
        <v>244.10000000000002</v>
      </c>
      <c r="F15" s="8">
        <f t="shared" si="5"/>
        <v>1724.9889499999999</v>
      </c>
      <c r="G15" s="10">
        <f t="shared" si="5"/>
        <v>17.516367228352504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13.18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15.16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1680.7889499999999</v>
      </c>
    </row>
    <row r="36" spans="1:6" x14ac:dyDescent="0.25">
      <c r="B36" s="29" t="s">
        <v>75</v>
      </c>
      <c r="C36" s="32">
        <v>1602</v>
      </c>
    </row>
    <row r="37" spans="1:6" x14ac:dyDescent="0.25">
      <c r="B37" s="29" t="s">
        <v>76</v>
      </c>
      <c r="C37" s="32">
        <f>F15</f>
        <v>1724.9889499999999</v>
      </c>
    </row>
    <row r="38" spans="1:6" ht="25.5" x14ac:dyDescent="0.25">
      <c r="B38" s="30" t="s">
        <v>88</v>
      </c>
      <c r="C38" s="32">
        <f>C35-C37</f>
        <v>-44.200000000000045</v>
      </c>
    </row>
    <row r="39" spans="1:6" x14ac:dyDescent="0.25">
      <c r="B39" s="33" t="s">
        <v>119</v>
      </c>
      <c r="C39" s="34">
        <f>947.9-2.1</f>
        <v>945.8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28:F28"/>
    <mergeCell ref="B29:F29"/>
    <mergeCell ref="D30:F30"/>
    <mergeCell ref="D31:F31"/>
    <mergeCell ref="B32:F32"/>
    <mergeCell ref="D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39"/>
  <sheetViews>
    <sheetView topLeftCell="A5" workbookViewId="0">
      <selection activeCell="G8" sqref="G8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7109375" style="3" customWidth="1"/>
    <col min="8" max="8" width="10" style="3" hidden="1" customWidth="1"/>
    <col min="9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22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69</v>
      </c>
      <c r="B2" s="54"/>
      <c r="F2" s="21">
        <v>3169.82</v>
      </c>
    </row>
    <row r="3" spans="1:12" ht="25.5" x14ac:dyDescent="0.25">
      <c r="A3" s="4" t="s">
        <v>0</v>
      </c>
      <c r="B3" s="4" t="s">
        <v>1</v>
      </c>
      <c r="C3" s="5" t="s">
        <v>2</v>
      </c>
      <c r="D3" s="23" t="s">
        <v>25</v>
      </c>
      <c r="E3" s="4" t="s">
        <v>11</v>
      </c>
      <c r="F3" s="23" t="s">
        <v>26</v>
      </c>
      <c r="G3" s="11" t="s">
        <v>103</v>
      </c>
    </row>
    <row r="4" spans="1:12" ht="42" customHeight="1" x14ac:dyDescent="0.25">
      <c r="A4" s="36" t="s">
        <v>3</v>
      </c>
      <c r="B4" s="7" t="s">
        <v>97</v>
      </c>
      <c r="C4" s="11" t="s">
        <v>4</v>
      </c>
      <c r="D4" s="13">
        <f>H4*$F$2*10/1000*1.1+5.5</f>
        <v>54.315228000000005</v>
      </c>
      <c r="E4" s="13">
        <f>42.9+22.1</f>
        <v>65</v>
      </c>
      <c r="F4" s="13">
        <f>$F$12/$D$12*D4</f>
        <v>49.354762042788138</v>
      </c>
      <c r="G4" s="10">
        <f>F4/$F$2/10*1000</f>
        <v>1.5570209678400708</v>
      </c>
      <c r="H4" s="3">
        <v>1.4</v>
      </c>
      <c r="I4" s="17">
        <f>H4*$F$2*12/1000</f>
        <v>53.252975999999997</v>
      </c>
    </row>
    <row r="5" spans="1:12" ht="41.25" customHeight="1" x14ac:dyDescent="0.25">
      <c r="A5" s="36" t="s">
        <v>5</v>
      </c>
      <c r="B5" s="7" t="s">
        <v>98</v>
      </c>
      <c r="C5" s="11" t="s">
        <v>4</v>
      </c>
      <c r="D5" s="27">
        <f>H5*$F$2*10/1000*1.1</f>
        <v>94.841014400000006</v>
      </c>
      <c r="E5" s="13"/>
      <c r="F5" s="27">
        <f>$F$12/$D$12*D5</f>
        <v>86.179435675178297</v>
      </c>
      <c r="G5" s="10">
        <f t="shared" ref="G5:G11" si="0">F5/$F$2/10*1000</f>
        <v>2.718748562226823</v>
      </c>
      <c r="H5" s="3">
        <v>2.72</v>
      </c>
      <c r="I5" s="17">
        <f>H5*$F$2*12/1000</f>
        <v>103.46292480000001</v>
      </c>
    </row>
    <row r="6" spans="1:12" ht="30" customHeight="1" x14ac:dyDescent="0.25">
      <c r="A6" s="23"/>
      <c r="B6" s="9" t="s">
        <v>28</v>
      </c>
      <c r="C6" s="5" t="s">
        <v>4</v>
      </c>
      <c r="D6" s="8">
        <v>14.9</v>
      </c>
      <c r="E6" s="8">
        <v>14.9</v>
      </c>
      <c r="F6" s="8">
        <v>14.9</v>
      </c>
      <c r="G6" s="10">
        <f t="shared" si="0"/>
        <v>0.47005823674530411</v>
      </c>
      <c r="I6" s="17"/>
    </row>
    <row r="7" spans="1:12" ht="25.5" x14ac:dyDescent="0.25">
      <c r="A7" s="23"/>
      <c r="B7" s="7" t="s">
        <v>8</v>
      </c>
      <c r="C7" s="11" t="s">
        <v>4</v>
      </c>
      <c r="D7" s="8">
        <v>22.5</v>
      </c>
      <c r="E7" s="8">
        <v>22.5</v>
      </c>
      <c r="F7" s="8">
        <v>22.5</v>
      </c>
      <c r="G7" s="10">
        <f t="shared" si="0"/>
        <v>0.70981948501807668</v>
      </c>
      <c r="H7" s="17">
        <v>0.79</v>
      </c>
      <c r="I7" s="17">
        <f t="shared" ref="I7:I11" si="1">H7*$F$2*12/1000</f>
        <v>30.049893600000004</v>
      </c>
    </row>
    <row r="8" spans="1:12" ht="31.5" customHeight="1" x14ac:dyDescent="0.25">
      <c r="A8" s="23"/>
      <c r="B8" s="9" t="s">
        <v>27</v>
      </c>
      <c r="C8" s="11" t="s">
        <v>4</v>
      </c>
      <c r="D8" s="8">
        <v>3.8</v>
      </c>
      <c r="E8" s="8">
        <v>3.8</v>
      </c>
      <c r="F8" s="8">
        <v>3.8</v>
      </c>
      <c r="G8" s="10">
        <f t="shared" si="0"/>
        <v>0.11988062413638628</v>
      </c>
      <c r="I8" s="17">
        <f t="shared" si="1"/>
        <v>0</v>
      </c>
    </row>
    <row r="9" spans="1:12" ht="25.5" x14ac:dyDescent="0.25">
      <c r="A9" s="23" t="s">
        <v>5</v>
      </c>
      <c r="B9" s="7" t="s">
        <v>31</v>
      </c>
      <c r="C9" s="11" t="s">
        <v>4</v>
      </c>
      <c r="D9" s="13">
        <f>H9*F2*10/1000*1.1</f>
        <v>201.8858358</v>
      </c>
      <c r="E9" s="13">
        <v>91.4</v>
      </c>
      <c r="F9" s="27">
        <f>$F$12/$D$12*D9</f>
        <v>183.44813697032438</v>
      </c>
      <c r="G9" s="10">
        <f t="shared" si="0"/>
        <v>5.7873360938578333</v>
      </c>
      <c r="H9" s="3">
        <v>5.79</v>
      </c>
      <c r="I9" s="17">
        <f t="shared" si="1"/>
        <v>220.23909359999999</v>
      </c>
    </row>
    <row r="10" spans="1:12" x14ac:dyDescent="0.25">
      <c r="A10" s="23"/>
      <c r="B10" s="9" t="s">
        <v>9</v>
      </c>
      <c r="C10" s="5" t="s">
        <v>4</v>
      </c>
      <c r="D10" s="8">
        <v>6.8</v>
      </c>
      <c r="E10" s="8">
        <v>6.8</v>
      </c>
      <c r="F10" s="8">
        <v>6.8</v>
      </c>
      <c r="G10" s="10">
        <f t="shared" si="0"/>
        <v>0.21452322213879652</v>
      </c>
      <c r="I10" s="17"/>
    </row>
    <row r="11" spans="1:12" x14ac:dyDescent="0.25">
      <c r="A11" s="23" t="s">
        <v>6</v>
      </c>
      <c r="B11" s="7" t="s">
        <v>10</v>
      </c>
      <c r="C11" s="11" t="s">
        <v>4</v>
      </c>
      <c r="D11" s="13">
        <f>H11*F2*10/1000*1.1</f>
        <v>83.683248000000006</v>
      </c>
      <c r="E11" s="23">
        <v>37.9</v>
      </c>
      <c r="F11" s="27">
        <f>$F$12/$D$12*D11</f>
        <v>76.04067853692203</v>
      </c>
      <c r="G11" s="10">
        <f t="shared" si="0"/>
        <v>2.3988957902001387</v>
      </c>
      <c r="H11" s="3">
        <v>2.4</v>
      </c>
      <c r="I11" s="17">
        <f t="shared" si="1"/>
        <v>91.290816000000007</v>
      </c>
    </row>
    <row r="12" spans="1:12" x14ac:dyDescent="0.25">
      <c r="A12" s="14"/>
      <c r="B12" s="14" t="s">
        <v>13</v>
      </c>
      <c r="C12" s="15" t="s">
        <v>4</v>
      </c>
      <c r="D12" s="16">
        <v>434.7</v>
      </c>
      <c r="E12" s="16">
        <f>SUM(E4:E11)</f>
        <v>242.30000000000004</v>
      </c>
      <c r="F12" s="16">
        <v>395</v>
      </c>
      <c r="G12" s="37">
        <f>G11+G9+G5+G4</f>
        <v>12.462001414124865</v>
      </c>
      <c r="H12" s="17">
        <f>H11+H9+H4</f>
        <v>9.59</v>
      </c>
      <c r="I12" s="18">
        <f>I11+I9+I4</f>
        <v>364.78288559999999</v>
      </c>
      <c r="K12" s="18">
        <f>D11+D9+D5+D4</f>
        <v>434.72532619999998</v>
      </c>
      <c r="L12" s="18">
        <f>F11+F9+F5+F4</f>
        <v>395.02301322521282</v>
      </c>
    </row>
    <row r="13" spans="1:12" ht="19.5" customHeight="1" x14ac:dyDescent="0.25">
      <c r="A13" s="4"/>
      <c r="B13" s="9" t="s">
        <v>12</v>
      </c>
      <c r="C13" s="5" t="s">
        <v>23</v>
      </c>
      <c r="D13" s="10">
        <f>D12/$F$2*1000/10</f>
        <v>13.713712450549243</v>
      </c>
      <c r="E13" s="10">
        <f t="shared" ref="E13:F13" si="2">E12/$F$2*1000/10</f>
        <v>7.6439671653280001</v>
      </c>
      <c r="F13" s="10">
        <f t="shared" si="2"/>
        <v>12.46127540365068</v>
      </c>
      <c r="G13" s="10"/>
      <c r="I13" s="18"/>
    </row>
    <row r="14" spans="1:12" ht="18.75" customHeight="1" x14ac:dyDescent="0.25">
      <c r="A14" s="4"/>
      <c r="B14" s="9" t="s">
        <v>24</v>
      </c>
      <c r="C14" s="5" t="s">
        <v>23</v>
      </c>
      <c r="D14" s="8">
        <f>F2*H14/1000*10</f>
        <v>104.60406</v>
      </c>
      <c r="E14" s="8">
        <v>49.8</v>
      </c>
      <c r="F14" s="8">
        <f>D14</f>
        <v>104.60406</v>
      </c>
      <c r="G14" s="10">
        <f>F14/$F$2/10*1000</f>
        <v>3.3</v>
      </c>
      <c r="H14" s="3">
        <v>3.3</v>
      </c>
      <c r="I14" s="18">
        <f>H14*F2/1000*12</f>
        <v>125.52487200000002</v>
      </c>
    </row>
    <row r="15" spans="1:12" x14ac:dyDescent="0.25">
      <c r="A15" s="4"/>
      <c r="B15" s="4" t="s">
        <v>14</v>
      </c>
      <c r="C15" s="5" t="s">
        <v>4</v>
      </c>
      <c r="D15" s="8">
        <f>D14+D12</f>
        <v>539.30405999999994</v>
      </c>
      <c r="E15" s="8">
        <f t="shared" ref="E15:G15" si="3">E14+E12</f>
        <v>292.10000000000002</v>
      </c>
      <c r="F15" s="8">
        <f t="shared" si="3"/>
        <v>499.60406</v>
      </c>
      <c r="G15" s="10">
        <f t="shared" si="3"/>
        <v>15.762001414124864</v>
      </c>
    </row>
    <row r="16" spans="1:12" ht="25.5" customHeight="1" x14ac:dyDescent="0.25">
      <c r="A16" s="4"/>
      <c r="B16" s="47" t="s">
        <v>32</v>
      </c>
      <c r="C16" s="48"/>
      <c r="D16" s="48"/>
      <c r="E16" s="48"/>
      <c r="F16" s="49"/>
    </row>
    <row r="17" spans="1:10" x14ac:dyDescent="0.25">
      <c r="A17" s="4"/>
      <c r="B17" s="4" t="s">
        <v>104</v>
      </c>
      <c r="C17" s="5" t="s">
        <v>15</v>
      </c>
      <c r="D17" s="44">
        <v>17.03</v>
      </c>
      <c r="E17" s="45"/>
      <c r="F17" s="46"/>
      <c r="J17" s="28"/>
    </row>
    <row r="18" spans="1:10" x14ac:dyDescent="0.25">
      <c r="A18" s="4"/>
      <c r="B18" s="4" t="s">
        <v>105</v>
      </c>
      <c r="C18" s="5" t="s">
        <v>15</v>
      </c>
      <c r="D18" s="44">
        <v>17.59</v>
      </c>
      <c r="E18" s="45"/>
      <c r="F18" s="46"/>
    </row>
    <row r="19" spans="1:10" ht="14.25" x14ac:dyDescent="0.25">
      <c r="A19" s="4"/>
      <c r="B19" s="47" t="s">
        <v>16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21.65</v>
      </c>
      <c r="E20" s="45"/>
      <c r="F20" s="46"/>
    </row>
    <row r="21" spans="1:10" x14ac:dyDescent="0.25">
      <c r="A21" s="4"/>
      <c r="B21" s="4" t="s">
        <v>105</v>
      </c>
      <c r="C21" s="5" t="s">
        <v>15</v>
      </c>
      <c r="D21" s="44">
        <v>22.37</v>
      </c>
      <c r="E21" s="45"/>
      <c r="F21" s="46"/>
    </row>
    <row r="22" spans="1:10" ht="14.25" x14ac:dyDescent="0.25">
      <c r="A22" s="4"/>
      <c r="B22" s="47" t="s">
        <v>17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106.36</v>
      </c>
      <c r="E23" s="45"/>
      <c r="F23" s="46"/>
    </row>
    <row r="24" spans="1:10" x14ac:dyDescent="0.25">
      <c r="A24" s="4"/>
      <c r="B24" s="4" t="s">
        <v>106</v>
      </c>
      <c r="C24" s="5" t="s">
        <v>15</v>
      </c>
      <c r="D24" s="44">
        <v>16.77</v>
      </c>
      <c r="E24" s="45"/>
      <c r="F24" s="46"/>
    </row>
    <row r="25" spans="1:10" x14ac:dyDescent="0.25">
      <c r="A25" s="4"/>
      <c r="B25" s="38" t="s">
        <v>107</v>
      </c>
      <c r="C25" s="5" t="s">
        <v>108</v>
      </c>
      <c r="D25" s="44">
        <v>1410.61</v>
      </c>
      <c r="E25" s="45"/>
      <c r="F25" s="46"/>
    </row>
    <row r="26" spans="1:10" ht="14.25" x14ac:dyDescent="0.25">
      <c r="A26" s="4"/>
      <c r="B26" s="47" t="s">
        <v>18</v>
      </c>
      <c r="C26" s="48"/>
      <c r="D26" s="48"/>
      <c r="E26" s="48"/>
      <c r="F26" s="49"/>
    </row>
    <row r="27" spans="1:10" x14ac:dyDescent="0.25">
      <c r="A27" s="4"/>
      <c r="B27" s="4" t="s">
        <v>104</v>
      </c>
      <c r="C27" s="5" t="s">
        <v>22</v>
      </c>
      <c r="D27" s="52">
        <f>1296.94*1.18</f>
        <v>1530.3892000000001</v>
      </c>
      <c r="E27" s="50"/>
      <c r="F27" s="51"/>
    </row>
    <row r="28" spans="1:10" x14ac:dyDescent="0.25">
      <c r="A28" s="4"/>
      <c r="B28" s="4" t="s">
        <v>105</v>
      </c>
      <c r="C28" s="5" t="s">
        <v>22</v>
      </c>
      <c r="D28" s="52">
        <v>1580.89</v>
      </c>
      <c r="E28" s="50"/>
      <c r="F28" s="51"/>
    </row>
    <row r="29" spans="1:10" ht="18" customHeight="1" x14ac:dyDescent="0.25">
      <c r="A29" s="4"/>
      <c r="B29" s="47" t="s">
        <v>19</v>
      </c>
      <c r="C29" s="48"/>
      <c r="D29" s="48"/>
      <c r="E29" s="48"/>
      <c r="F29" s="49"/>
    </row>
    <row r="30" spans="1:10" ht="18" customHeight="1" x14ac:dyDescent="0.25">
      <c r="A30" s="4"/>
      <c r="B30" s="4" t="s">
        <v>20</v>
      </c>
      <c r="C30" s="5" t="s">
        <v>23</v>
      </c>
      <c r="D30" s="44">
        <v>13.3</v>
      </c>
      <c r="E30" s="45"/>
      <c r="F30" s="46"/>
    </row>
    <row r="31" spans="1:10" ht="18" customHeight="1" x14ac:dyDescent="0.25">
      <c r="A31" s="4"/>
      <c r="B31" s="4" t="s">
        <v>105</v>
      </c>
      <c r="C31" s="5" t="s">
        <v>23</v>
      </c>
      <c r="D31" s="50">
        <v>15.3</v>
      </c>
      <c r="E31" s="50"/>
      <c r="F31" s="51"/>
    </row>
    <row r="32" spans="1:10" ht="18" customHeight="1" x14ac:dyDescent="0.25">
      <c r="A32" s="4"/>
      <c r="B32" s="47" t="s">
        <v>24</v>
      </c>
      <c r="C32" s="48"/>
      <c r="D32" s="48"/>
      <c r="E32" s="48"/>
      <c r="F32" s="49"/>
    </row>
    <row r="33" spans="1:6" ht="18" customHeight="1" x14ac:dyDescent="0.25">
      <c r="A33" s="4"/>
      <c r="B33" s="4" t="s">
        <v>29</v>
      </c>
      <c r="C33" s="5" t="s">
        <v>23</v>
      </c>
      <c r="D33" s="52">
        <v>3.3</v>
      </c>
      <c r="E33" s="50"/>
      <c r="F33" s="51"/>
    </row>
    <row r="35" spans="1:6" x14ac:dyDescent="0.25">
      <c r="B35" s="29" t="s">
        <v>74</v>
      </c>
      <c r="C35" s="32">
        <f>D15</f>
        <v>539.30405999999994</v>
      </c>
    </row>
    <row r="36" spans="1:6" x14ac:dyDescent="0.25">
      <c r="B36" s="29" t="s">
        <v>75</v>
      </c>
      <c r="C36" s="32">
        <v>519</v>
      </c>
    </row>
    <row r="37" spans="1:6" x14ac:dyDescent="0.25">
      <c r="B37" s="29" t="s">
        <v>76</v>
      </c>
      <c r="C37" s="32">
        <f>F15</f>
        <v>499.60406</v>
      </c>
    </row>
    <row r="38" spans="1:6" ht="25.5" x14ac:dyDescent="0.25">
      <c r="B38" s="30" t="s">
        <v>84</v>
      </c>
      <c r="C38" s="32">
        <f>C35-C37</f>
        <v>39.699999999999932</v>
      </c>
    </row>
    <row r="39" spans="1:6" x14ac:dyDescent="0.25">
      <c r="B39" s="33" t="s">
        <v>109</v>
      </c>
      <c r="C39" s="32">
        <f>131-2.6</f>
        <v>128.4</v>
      </c>
    </row>
  </sheetData>
  <mergeCells count="20">
    <mergeCell ref="A2:B2"/>
    <mergeCell ref="A1:G1"/>
    <mergeCell ref="B16:F16"/>
    <mergeCell ref="D17:F17"/>
    <mergeCell ref="D18:F18"/>
    <mergeCell ref="B19:F19"/>
    <mergeCell ref="D20:F20"/>
    <mergeCell ref="D21:F21"/>
    <mergeCell ref="B22:F22"/>
    <mergeCell ref="D23:F23"/>
    <mergeCell ref="D24:F24"/>
    <mergeCell ref="D25:F25"/>
    <mergeCell ref="B26:F26"/>
    <mergeCell ref="D27:F27"/>
    <mergeCell ref="D33:F33"/>
    <mergeCell ref="D28:F28"/>
    <mergeCell ref="B29:F29"/>
    <mergeCell ref="D30:F30"/>
    <mergeCell ref="D31:F31"/>
    <mergeCell ref="B32:F32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8"/>
  <sheetViews>
    <sheetView workbookViewId="0">
      <selection activeCell="R13" sqref="R13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7109375" style="3" customWidth="1"/>
    <col min="8" max="8" width="10" style="3" hidden="1" customWidth="1"/>
    <col min="9" max="9" width="9.140625" style="3" hidden="1" customWidth="1"/>
    <col min="10" max="10" width="9.140625" style="3"/>
    <col min="11" max="12" width="9.140625" style="3" hidden="1" customWidth="1"/>
    <col min="13" max="16384" width="9.140625" style="3"/>
  </cols>
  <sheetData>
    <row r="1" spans="1:12" s="22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70</v>
      </c>
      <c r="B2" s="54"/>
      <c r="F2" s="21">
        <v>12025.12</v>
      </c>
    </row>
    <row r="3" spans="1:12" ht="25.5" x14ac:dyDescent="0.25">
      <c r="A3" s="4" t="s">
        <v>0</v>
      </c>
      <c r="B3" s="4" t="s">
        <v>1</v>
      </c>
      <c r="C3" s="5" t="s">
        <v>2</v>
      </c>
      <c r="D3" s="23" t="s">
        <v>25</v>
      </c>
      <c r="E3" s="4" t="s">
        <v>11</v>
      </c>
      <c r="F3" s="23" t="s">
        <v>26</v>
      </c>
      <c r="G3" s="11" t="s">
        <v>103</v>
      </c>
    </row>
    <row r="4" spans="1:12" ht="40.5" customHeight="1" x14ac:dyDescent="0.25">
      <c r="A4" s="36" t="s">
        <v>3</v>
      </c>
      <c r="B4" s="7" t="s">
        <v>97</v>
      </c>
      <c r="C4" s="11" t="s">
        <v>4</v>
      </c>
      <c r="D4" s="13">
        <f>H4*$F$2*10/1000*1.1</f>
        <v>185.18684800000003</v>
      </c>
      <c r="E4" s="13">
        <f>42.9+22.1</f>
        <v>65</v>
      </c>
      <c r="F4" s="13">
        <f>$F$11/$D$11*D4</f>
        <v>192.81850174887319</v>
      </c>
      <c r="G4" s="10">
        <f>F4/$F$2/10*1000</f>
        <v>1.6034642627173215</v>
      </c>
      <c r="H4" s="3">
        <v>1.4</v>
      </c>
      <c r="I4" s="17">
        <f>H4*$F$2*12/1000</f>
        <v>202.02201600000001</v>
      </c>
    </row>
    <row r="5" spans="1:12" ht="41.25" customHeight="1" x14ac:dyDescent="0.25">
      <c r="A5" s="36" t="s">
        <v>5</v>
      </c>
      <c r="B5" s="7" t="s">
        <v>98</v>
      </c>
      <c r="C5" s="11" t="s">
        <v>4</v>
      </c>
      <c r="D5" s="27">
        <f>H5*$F$2*10/1000*1.1</f>
        <v>359.79159040000013</v>
      </c>
      <c r="E5" s="27"/>
      <c r="F5" s="27">
        <f>$F$11/$D$11*D5</f>
        <v>374.61880339781084</v>
      </c>
      <c r="G5" s="10">
        <f t="shared" ref="G5:G10" si="0">F5/$F$2/10*1000</f>
        <v>3.1153019961365112</v>
      </c>
      <c r="H5" s="3">
        <v>2.72</v>
      </c>
      <c r="I5" s="17">
        <f t="shared" ref="I5:I7" si="1">H5*$F$2*12/1000</f>
        <v>392.49991680000005</v>
      </c>
    </row>
    <row r="6" spans="1:12" ht="30" customHeight="1" x14ac:dyDescent="0.25">
      <c r="A6" s="23"/>
      <c r="B6" s="9" t="s">
        <v>28</v>
      </c>
      <c r="C6" s="5" t="s">
        <v>4</v>
      </c>
      <c r="D6" s="8">
        <f>51.5/12*10</f>
        <v>42.916666666666671</v>
      </c>
      <c r="E6" s="8">
        <f t="shared" ref="E6:F6" si="2">51.5/12*10</f>
        <v>42.916666666666671</v>
      </c>
      <c r="F6" s="8">
        <f t="shared" si="2"/>
        <v>42.916666666666671</v>
      </c>
      <c r="G6" s="10">
        <f t="shared" si="0"/>
        <v>0.35689179539719079</v>
      </c>
      <c r="I6" s="17"/>
    </row>
    <row r="7" spans="1:12" ht="32.25" customHeight="1" x14ac:dyDescent="0.25">
      <c r="A7" s="23"/>
      <c r="B7" s="9" t="s">
        <v>27</v>
      </c>
      <c r="C7" s="5" t="s">
        <v>4</v>
      </c>
      <c r="D7" s="8">
        <v>13</v>
      </c>
      <c r="E7" s="8">
        <v>13</v>
      </c>
      <c r="F7" s="8">
        <v>13</v>
      </c>
      <c r="G7" s="10">
        <f t="shared" si="0"/>
        <v>0.10810702928536263</v>
      </c>
      <c r="H7" s="3">
        <v>0.18</v>
      </c>
      <c r="I7" s="17">
        <f t="shared" si="1"/>
        <v>25.974259199999999</v>
      </c>
    </row>
    <row r="8" spans="1:12" ht="25.5" x14ac:dyDescent="0.25">
      <c r="A8" s="23" t="s">
        <v>5</v>
      </c>
      <c r="B8" s="7" t="s">
        <v>31</v>
      </c>
      <c r="C8" s="11" t="s">
        <v>4</v>
      </c>
      <c r="D8" s="27">
        <f>H8*$F$2*10/1000*1.1</f>
        <v>706.35554880000018</v>
      </c>
      <c r="E8" s="13">
        <v>91.4</v>
      </c>
      <c r="F8" s="27">
        <f>$F$11/$D$11*D8</f>
        <v>735.46485667070203</v>
      </c>
      <c r="G8" s="10">
        <f t="shared" si="0"/>
        <v>6.1160708306503553</v>
      </c>
      <c r="H8" s="3">
        <v>5.34</v>
      </c>
      <c r="I8" s="17">
        <f t="shared" ref="I8:I10" si="3">H8*$F$2*12/1000</f>
        <v>770.56968960000006</v>
      </c>
    </row>
    <row r="9" spans="1:12" x14ac:dyDescent="0.25">
      <c r="A9" s="23"/>
      <c r="B9" s="9" t="s">
        <v>9</v>
      </c>
      <c r="C9" s="5" t="s">
        <v>4</v>
      </c>
      <c r="D9" s="8">
        <v>30.4</v>
      </c>
      <c r="E9" s="4"/>
      <c r="F9" s="27">
        <f t="shared" ref="F9" si="4">$F$14/$D$14*D9</f>
        <v>31.397831112324841</v>
      </c>
      <c r="G9" s="10">
        <f t="shared" si="0"/>
        <v>0.26110201904284402</v>
      </c>
      <c r="I9" s="17"/>
    </row>
    <row r="10" spans="1:12" x14ac:dyDescent="0.25">
      <c r="A10" s="23" t="s">
        <v>6</v>
      </c>
      <c r="B10" s="7" t="s">
        <v>10</v>
      </c>
      <c r="C10" s="11" t="s">
        <v>4</v>
      </c>
      <c r="D10" s="27">
        <f>H10*$F$2*10/1000+13.1</f>
        <v>301.70288000000005</v>
      </c>
      <c r="E10" s="23">
        <v>37.9</v>
      </c>
      <c r="F10" s="27">
        <f>$F$11/$D$11*D10</f>
        <v>314.13622470057959</v>
      </c>
      <c r="G10" s="10">
        <f t="shared" si="0"/>
        <v>2.6123333879460628</v>
      </c>
      <c r="H10" s="3">
        <v>2.4</v>
      </c>
      <c r="I10" s="17">
        <f t="shared" si="3"/>
        <v>346.32345600000002</v>
      </c>
    </row>
    <row r="11" spans="1:12" x14ac:dyDescent="0.25">
      <c r="A11" s="14"/>
      <c r="B11" s="14" t="s">
        <v>13</v>
      </c>
      <c r="C11" s="15" t="s">
        <v>4</v>
      </c>
      <c r="D11" s="16">
        <v>1553</v>
      </c>
      <c r="E11" s="16">
        <f t="shared" ref="E11" si="5">SUM(E4:E10)</f>
        <v>250.21666666666667</v>
      </c>
      <c r="F11" s="16">
        <v>1617</v>
      </c>
      <c r="G11" s="37">
        <f>G10+G8+G5+G4</f>
        <v>13.44717047745025</v>
      </c>
      <c r="H11" s="17">
        <f>SUM(H4:H10)</f>
        <v>12.040000000000001</v>
      </c>
      <c r="I11" s="17">
        <f>SUM(I4:I10)</f>
        <v>1737.3893376000001</v>
      </c>
      <c r="K11" s="18">
        <f>D10+D8+D5+D4</f>
        <v>1553.0368672000004</v>
      </c>
      <c r="L11" s="18">
        <f>F4+F5+F8+F10</f>
        <v>1617.0383865179656</v>
      </c>
    </row>
    <row r="12" spans="1:12" ht="19.5" customHeight="1" x14ac:dyDescent="0.25">
      <c r="A12" s="4"/>
      <c r="B12" s="9" t="s">
        <v>12</v>
      </c>
      <c r="C12" s="5" t="s">
        <v>23</v>
      </c>
      <c r="D12" s="10">
        <f>D11/$F$2*1000/10</f>
        <v>12.914632036936013</v>
      </c>
      <c r="E12" s="10">
        <f t="shared" ref="E12:F12" si="6">E11/$F$2*1000/10</f>
        <v>2.0807831162322428</v>
      </c>
      <c r="F12" s="10">
        <f t="shared" si="6"/>
        <v>13.446851258033183</v>
      </c>
      <c r="G12" s="10"/>
      <c r="I12" s="18"/>
    </row>
    <row r="13" spans="1:12" ht="18.75" customHeight="1" x14ac:dyDescent="0.25">
      <c r="A13" s="4"/>
      <c r="B13" s="9" t="s">
        <v>24</v>
      </c>
      <c r="C13" s="5" t="s">
        <v>23</v>
      </c>
      <c r="D13" s="8">
        <f>F2*H13/1000*10</f>
        <v>396.82896</v>
      </c>
      <c r="E13" s="8">
        <f>G2*I13/1000*10</f>
        <v>0</v>
      </c>
      <c r="F13" s="8">
        <f>D13</f>
        <v>396.82896</v>
      </c>
      <c r="G13" s="10">
        <f>F13/$F$2/10*1000</f>
        <v>3.2999999999999994</v>
      </c>
      <c r="H13" s="3">
        <v>3.3</v>
      </c>
      <c r="I13" s="18">
        <f>H13*F2/1000*12</f>
        <v>476.19475199999999</v>
      </c>
    </row>
    <row r="14" spans="1:12" x14ac:dyDescent="0.25">
      <c r="A14" s="4"/>
      <c r="B14" s="4" t="s">
        <v>14</v>
      </c>
      <c r="C14" s="5" t="s">
        <v>4</v>
      </c>
      <c r="D14" s="8">
        <f>D13+D11</f>
        <v>1949.8289600000001</v>
      </c>
      <c r="E14" s="8">
        <f t="shared" ref="E14:G14" si="7">E13+E11</f>
        <v>250.21666666666667</v>
      </c>
      <c r="F14" s="8">
        <f t="shared" si="7"/>
        <v>2013.8289600000001</v>
      </c>
      <c r="G14" s="10">
        <f t="shared" si="7"/>
        <v>16.747170477450251</v>
      </c>
    </row>
    <row r="15" spans="1:12" ht="25.5" customHeight="1" x14ac:dyDescent="0.25">
      <c r="A15" s="4"/>
      <c r="B15" s="47" t="s">
        <v>32</v>
      </c>
      <c r="C15" s="48"/>
      <c r="D15" s="48"/>
      <c r="E15" s="48"/>
      <c r="F15" s="49"/>
    </row>
    <row r="16" spans="1:12" x14ac:dyDescent="0.25">
      <c r="A16" s="4"/>
      <c r="B16" s="4" t="s">
        <v>104</v>
      </c>
      <c r="C16" s="5" t="s">
        <v>15</v>
      </c>
      <c r="D16" s="44">
        <v>17.03</v>
      </c>
      <c r="E16" s="45"/>
      <c r="F16" s="46"/>
      <c r="J16" s="28"/>
    </row>
    <row r="17" spans="1:6" x14ac:dyDescent="0.25">
      <c r="A17" s="4"/>
      <c r="B17" s="4" t="s">
        <v>105</v>
      </c>
      <c r="C17" s="5" t="s">
        <v>15</v>
      </c>
      <c r="D17" s="44">
        <v>17.59</v>
      </c>
      <c r="E17" s="45"/>
      <c r="F17" s="46"/>
    </row>
    <row r="18" spans="1:6" ht="14.25" x14ac:dyDescent="0.25">
      <c r="A18" s="4"/>
      <c r="B18" s="47" t="s">
        <v>16</v>
      </c>
      <c r="C18" s="48"/>
      <c r="D18" s="48"/>
      <c r="E18" s="48"/>
      <c r="F18" s="49"/>
    </row>
    <row r="19" spans="1:6" x14ac:dyDescent="0.25">
      <c r="A19" s="4"/>
      <c r="B19" s="4" t="s">
        <v>104</v>
      </c>
      <c r="C19" s="5" t="s">
        <v>15</v>
      </c>
      <c r="D19" s="44">
        <v>21.65</v>
      </c>
      <c r="E19" s="45"/>
      <c r="F19" s="46"/>
    </row>
    <row r="20" spans="1:6" x14ac:dyDescent="0.25">
      <c r="A20" s="4"/>
      <c r="B20" s="4" t="s">
        <v>105</v>
      </c>
      <c r="C20" s="5" t="s">
        <v>15</v>
      </c>
      <c r="D20" s="44">
        <v>22.37</v>
      </c>
      <c r="E20" s="45"/>
      <c r="F20" s="46"/>
    </row>
    <row r="21" spans="1:6" ht="14.25" x14ac:dyDescent="0.25">
      <c r="A21" s="4"/>
      <c r="B21" s="47" t="s">
        <v>17</v>
      </c>
      <c r="C21" s="48"/>
      <c r="D21" s="48"/>
      <c r="E21" s="48"/>
      <c r="F21" s="49"/>
    </row>
    <row r="22" spans="1:6" x14ac:dyDescent="0.25">
      <c r="A22" s="4"/>
      <c r="B22" s="4" t="s">
        <v>104</v>
      </c>
      <c r="C22" s="5" t="s">
        <v>15</v>
      </c>
      <c r="D22" s="44">
        <v>106.36</v>
      </c>
      <c r="E22" s="45"/>
      <c r="F22" s="46"/>
    </row>
    <row r="23" spans="1:6" x14ac:dyDescent="0.25">
      <c r="A23" s="4"/>
      <c r="B23" s="4" t="s">
        <v>106</v>
      </c>
      <c r="C23" s="5" t="s">
        <v>15</v>
      </c>
      <c r="D23" s="44">
        <v>16.77</v>
      </c>
      <c r="E23" s="45"/>
      <c r="F23" s="46"/>
    </row>
    <row r="24" spans="1:6" x14ac:dyDescent="0.25">
      <c r="A24" s="4"/>
      <c r="B24" s="38" t="s">
        <v>107</v>
      </c>
      <c r="C24" s="5" t="s">
        <v>108</v>
      </c>
      <c r="D24" s="44">
        <v>1410.61</v>
      </c>
      <c r="E24" s="45"/>
      <c r="F24" s="46"/>
    </row>
    <row r="25" spans="1:6" ht="14.25" x14ac:dyDescent="0.25">
      <c r="A25" s="4"/>
      <c r="B25" s="47" t="s">
        <v>18</v>
      </c>
      <c r="C25" s="48"/>
      <c r="D25" s="48"/>
      <c r="E25" s="48"/>
      <c r="F25" s="49"/>
    </row>
    <row r="26" spans="1:6" x14ac:dyDescent="0.25">
      <c r="A26" s="4"/>
      <c r="B26" s="4" t="s">
        <v>104</v>
      </c>
      <c r="C26" s="5" t="s">
        <v>22</v>
      </c>
      <c r="D26" s="52">
        <f>1296.94*1.18</f>
        <v>1530.3892000000001</v>
      </c>
      <c r="E26" s="50"/>
      <c r="F26" s="51"/>
    </row>
    <row r="27" spans="1:6" x14ac:dyDescent="0.25">
      <c r="A27" s="4"/>
      <c r="B27" s="4" t="s">
        <v>105</v>
      </c>
      <c r="C27" s="5" t="s">
        <v>22</v>
      </c>
      <c r="D27" s="52">
        <v>1580.89</v>
      </c>
      <c r="E27" s="50"/>
      <c r="F27" s="51"/>
    </row>
    <row r="28" spans="1:6" ht="18" customHeight="1" x14ac:dyDescent="0.25">
      <c r="A28" s="4"/>
      <c r="B28" s="47" t="s">
        <v>19</v>
      </c>
      <c r="C28" s="48"/>
      <c r="D28" s="48"/>
      <c r="E28" s="48"/>
      <c r="F28" s="49"/>
    </row>
    <row r="29" spans="1:6" ht="18" customHeight="1" x14ac:dyDescent="0.25">
      <c r="A29" s="4"/>
      <c r="B29" s="4" t="s">
        <v>20</v>
      </c>
      <c r="C29" s="5" t="s">
        <v>23</v>
      </c>
      <c r="D29" s="44">
        <v>12.04</v>
      </c>
      <c r="E29" s="45"/>
      <c r="F29" s="46"/>
    </row>
    <row r="30" spans="1:6" ht="18" customHeight="1" x14ac:dyDescent="0.25">
      <c r="A30" s="4"/>
      <c r="B30" s="4" t="s">
        <v>105</v>
      </c>
      <c r="C30" s="5" t="s">
        <v>23</v>
      </c>
      <c r="D30" s="50">
        <v>13.85</v>
      </c>
      <c r="E30" s="50"/>
      <c r="F30" s="51"/>
    </row>
    <row r="31" spans="1:6" ht="18" customHeight="1" x14ac:dyDescent="0.25">
      <c r="A31" s="4"/>
      <c r="B31" s="47" t="s">
        <v>24</v>
      </c>
      <c r="C31" s="48"/>
      <c r="D31" s="48"/>
      <c r="E31" s="48"/>
      <c r="F31" s="49"/>
    </row>
    <row r="32" spans="1:6" ht="18" customHeight="1" x14ac:dyDescent="0.25">
      <c r="A32" s="4"/>
      <c r="B32" s="4" t="s">
        <v>29</v>
      </c>
      <c r="C32" s="5" t="s">
        <v>23</v>
      </c>
      <c r="D32" s="52">
        <v>3.3</v>
      </c>
      <c r="E32" s="50"/>
      <c r="F32" s="51"/>
    </row>
    <row r="34" spans="2:3" x14ac:dyDescent="0.25">
      <c r="B34" s="29" t="s">
        <v>74</v>
      </c>
      <c r="C34" s="32">
        <f>D14</f>
        <v>1949.8289600000001</v>
      </c>
    </row>
    <row r="35" spans="2:3" x14ac:dyDescent="0.25">
      <c r="B35" s="29" t="s">
        <v>75</v>
      </c>
      <c r="C35" s="34">
        <v>1931.8</v>
      </c>
    </row>
    <row r="36" spans="2:3" x14ac:dyDescent="0.25">
      <c r="B36" s="29" t="s">
        <v>76</v>
      </c>
      <c r="C36" s="32">
        <f>F14</f>
        <v>2013.8289600000001</v>
      </c>
    </row>
    <row r="37" spans="2:3" ht="25.5" x14ac:dyDescent="0.25">
      <c r="B37" s="30" t="s">
        <v>91</v>
      </c>
      <c r="C37" s="32">
        <f>C34-C36</f>
        <v>-64</v>
      </c>
    </row>
    <row r="38" spans="2:3" x14ac:dyDescent="0.25">
      <c r="B38" s="33" t="s">
        <v>109</v>
      </c>
      <c r="C38" s="34">
        <f>613.6-108.5</f>
        <v>505.1</v>
      </c>
    </row>
  </sheetData>
  <mergeCells count="20">
    <mergeCell ref="D23:F23"/>
    <mergeCell ref="D24:F24"/>
    <mergeCell ref="B18:F18"/>
    <mergeCell ref="D19:F19"/>
    <mergeCell ref="D20:F20"/>
    <mergeCell ref="B21:F21"/>
    <mergeCell ref="D22:F22"/>
    <mergeCell ref="A2:B2"/>
    <mergeCell ref="A1:G1"/>
    <mergeCell ref="B15:F15"/>
    <mergeCell ref="D16:F16"/>
    <mergeCell ref="D17:F17"/>
    <mergeCell ref="D30:F30"/>
    <mergeCell ref="B31:F31"/>
    <mergeCell ref="D32:F32"/>
    <mergeCell ref="B25:F25"/>
    <mergeCell ref="D26:F26"/>
    <mergeCell ref="D27:F27"/>
    <mergeCell ref="B28:F28"/>
    <mergeCell ref="D29:F29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40"/>
  <sheetViews>
    <sheetView workbookViewId="0">
      <selection activeCell="U10" sqref="U10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4.7109375" style="3" customWidth="1"/>
    <col min="8" max="8" width="10" style="3" hidden="1" customWidth="1"/>
    <col min="9" max="9" width="9.140625" style="3" hidden="1" customWidth="1"/>
    <col min="10" max="10" width="9.140625" style="3"/>
    <col min="11" max="12" width="9.140625" style="3" hidden="1" customWidth="1"/>
    <col min="13" max="16384" width="9.140625" style="3"/>
  </cols>
  <sheetData>
    <row r="1" spans="1:12" s="22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24" customHeight="1" x14ac:dyDescent="0.25">
      <c r="A2" s="54" t="s">
        <v>71</v>
      </c>
      <c r="B2" s="54"/>
      <c r="F2" s="21">
        <v>2756.7</v>
      </c>
    </row>
    <row r="3" spans="1:12" ht="25.5" x14ac:dyDescent="0.25">
      <c r="A3" s="4" t="s">
        <v>0</v>
      </c>
      <c r="B3" s="4" t="s">
        <v>1</v>
      </c>
      <c r="C3" s="5" t="s">
        <v>2</v>
      </c>
      <c r="D3" s="23" t="s">
        <v>25</v>
      </c>
      <c r="E3" s="4" t="s">
        <v>11</v>
      </c>
      <c r="F3" s="23" t="s">
        <v>26</v>
      </c>
      <c r="G3" s="11" t="s">
        <v>103</v>
      </c>
    </row>
    <row r="4" spans="1:12" ht="40.5" customHeight="1" x14ac:dyDescent="0.25">
      <c r="A4" s="36" t="s">
        <v>3</v>
      </c>
      <c r="B4" s="7" t="s">
        <v>97</v>
      </c>
      <c r="C4" s="11" t="s">
        <v>4</v>
      </c>
      <c r="D4" s="13">
        <f>H4*$F$2*12/1000*1.1</f>
        <v>50.943815999999998</v>
      </c>
      <c r="E4" s="13">
        <f>42.9+22.1</f>
        <v>65</v>
      </c>
      <c r="F4" s="13">
        <f>$F$13/$D$13*D4</f>
        <v>54.011113821989525</v>
      </c>
      <c r="G4" s="10">
        <f>F4/$F$2/10*1000</f>
        <v>1.9592670157068064</v>
      </c>
      <c r="H4" s="3">
        <v>1.4</v>
      </c>
      <c r="I4" s="17">
        <f>H4*$F$2*12/1000</f>
        <v>46.312559999999998</v>
      </c>
    </row>
    <row r="5" spans="1:12" ht="42.75" customHeight="1" x14ac:dyDescent="0.25">
      <c r="A5" s="36" t="s">
        <v>5</v>
      </c>
      <c r="B5" s="7" t="s">
        <v>98</v>
      </c>
      <c r="C5" s="11" t="s">
        <v>4</v>
      </c>
      <c r="D5" s="27">
        <f>H5*$F$2*12/1000*1.1</f>
        <v>98.976556799999997</v>
      </c>
      <c r="E5" s="27"/>
      <c r="F5" s="27">
        <f>$F$13/$D$13*D5</f>
        <v>104.93587828272251</v>
      </c>
      <c r="G5" s="10">
        <f t="shared" ref="G5:G12" si="0">F5/$F$2/10*1000</f>
        <v>3.8065759162303667</v>
      </c>
      <c r="H5" s="3">
        <v>2.72</v>
      </c>
      <c r="I5" s="17">
        <f t="shared" ref="I5:I15" si="1">H5*$F$2*12/1000</f>
        <v>89.978687999999991</v>
      </c>
    </row>
    <row r="6" spans="1:12" ht="30" customHeight="1" x14ac:dyDescent="0.25">
      <c r="A6" s="23"/>
      <c r="B6" s="9" t="s">
        <v>28</v>
      </c>
      <c r="C6" s="5" t="s">
        <v>4</v>
      </c>
      <c r="D6" s="8">
        <v>3.5</v>
      </c>
      <c r="E6" s="8">
        <v>3.5</v>
      </c>
      <c r="F6" s="8">
        <v>3.5</v>
      </c>
      <c r="G6" s="10">
        <f t="shared" si="0"/>
        <v>0.12696339826604275</v>
      </c>
      <c r="I6" s="17"/>
    </row>
    <row r="7" spans="1:12" ht="32.25" customHeight="1" x14ac:dyDescent="0.25">
      <c r="A7" s="23"/>
      <c r="B7" s="9" t="s">
        <v>27</v>
      </c>
      <c r="C7" s="5" t="s">
        <v>4</v>
      </c>
      <c r="D7" s="27">
        <f>H7*$F$2*10/1000</f>
        <v>7.1674199999999999</v>
      </c>
      <c r="E7" s="8">
        <v>3</v>
      </c>
      <c r="F7" s="27">
        <f>D7</f>
        <v>7.1674199999999999</v>
      </c>
      <c r="G7" s="10">
        <f t="shared" si="0"/>
        <v>0.26</v>
      </c>
      <c r="H7" s="3">
        <v>0.26</v>
      </c>
      <c r="I7" s="17">
        <f t="shared" si="1"/>
        <v>8.6009039999999981</v>
      </c>
    </row>
    <row r="8" spans="1:12" ht="25.5" x14ac:dyDescent="0.25">
      <c r="A8" s="23"/>
      <c r="B8" s="7" t="s">
        <v>8</v>
      </c>
      <c r="C8" s="11" t="s">
        <v>4</v>
      </c>
      <c r="D8" s="27">
        <f>H8*$F$2*10/1000</f>
        <v>25</v>
      </c>
      <c r="E8" s="27">
        <f t="shared" ref="E8" si="2">I8*$F$2*10/1000</f>
        <v>827.01</v>
      </c>
      <c r="F8" s="27">
        <f>D8</f>
        <v>25</v>
      </c>
      <c r="G8" s="10">
        <f t="shared" si="0"/>
        <v>0.90688141618601947</v>
      </c>
      <c r="H8" s="17">
        <f>30/F2/12*1000</f>
        <v>0.90688141618601958</v>
      </c>
      <c r="I8" s="17">
        <f t="shared" si="1"/>
        <v>30</v>
      </c>
    </row>
    <row r="9" spans="1:12" ht="31.5" hidden="1" customHeight="1" x14ac:dyDescent="0.25">
      <c r="A9" s="23"/>
      <c r="B9" s="7" t="s">
        <v>7</v>
      </c>
      <c r="C9" s="11" t="s">
        <v>4</v>
      </c>
      <c r="D9" s="27">
        <f>H9*$F$2*12/1000</f>
        <v>0</v>
      </c>
      <c r="E9" s="13"/>
      <c r="F9" s="27">
        <f t="shared" ref="F9:F11" si="3">$F$16/$D$16*D9</f>
        <v>0</v>
      </c>
      <c r="G9" s="10">
        <f t="shared" si="0"/>
        <v>0</v>
      </c>
      <c r="I9" s="17">
        <f t="shared" si="1"/>
        <v>0</v>
      </c>
    </row>
    <row r="10" spans="1:12" ht="25.5" x14ac:dyDescent="0.25">
      <c r="A10" s="23" t="s">
        <v>5</v>
      </c>
      <c r="B10" s="7" t="s">
        <v>31</v>
      </c>
      <c r="C10" s="11" t="s">
        <v>4</v>
      </c>
      <c r="D10" s="27">
        <f>H10*$F$2*12/1000*1.1</f>
        <v>227.06386560000001</v>
      </c>
      <c r="E10" s="13">
        <v>91.4</v>
      </c>
      <c r="F10" s="27">
        <f>$F$13/$D$13*D10</f>
        <v>240.73525017801049</v>
      </c>
      <c r="G10" s="10">
        <f t="shared" si="0"/>
        <v>8.7327329842931949</v>
      </c>
      <c r="H10" s="3">
        <v>6.24</v>
      </c>
      <c r="I10" s="17">
        <f t="shared" si="1"/>
        <v>206.421696</v>
      </c>
    </row>
    <row r="11" spans="1:12" x14ac:dyDescent="0.25">
      <c r="A11" s="23"/>
      <c r="B11" s="9" t="s">
        <v>9</v>
      </c>
      <c r="C11" s="5" t="s">
        <v>4</v>
      </c>
      <c r="D11" s="8">
        <v>7.6</v>
      </c>
      <c r="E11" s="4"/>
      <c r="F11" s="27">
        <f t="shared" si="3"/>
        <v>7.9818184101784757</v>
      </c>
      <c r="G11" s="10">
        <f t="shared" si="0"/>
        <v>0.28954251134249193</v>
      </c>
      <c r="I11" s="17">
        <f t="shared" si="1"/>
        <v>0</v>
      </c>
    </row>
    <row r="12" spans="1:12" x14ac:dyDescent="0.25">
      <c r="A12" s="23" t="s">
        <v>6</v>
      </c>
      <c r="B12" s="7" t="s">
        <v>10</v>
      </c>
      <c r="C12" s="11" t="s">
        <v>4</v>
      </c>
      <c r="D12" s="13">
        <f>H12*F2*12/1000+2</f>
        <v>81.392959999999988</v>
      </c>
      <c r="E12" s="23">
        <v>37.9</v>
      </c>
      <c r="F12" s="27">
        <f>$F$13/$D$13*D12</f>
        <v>86.293583246073283</v>
      </c>
      <c r="G12" s="10">
        <f t="shared" si="0"/>
        <v>3.1303218792786045</v>
      </c>
      <c r="H12" s="3">
        <v>2.4</v>
      </c>
      <c r="I12" s="17">
        <f t="shared" si="1"/>
        <v>79.392959999999988</v>
      </c>
    </row>
    <row r="13" spans="1:12" x14ac:dyDescent="0.25">
      <c r="A13" s="14"/>
      <c r="B13" s="14" t="s">
        <v>13</v>
      </c>
      <c r="C13" s="15" t="s">
        <v>4</v>
      </c>
      <c r="D13" s="16">
        <v>458.4</v>
      </c>
      <c r="E13" s="16">
        <f t="shared" ref="E13" si="4">SUM(E4:E12)</f>
        <v>1027.81</v>
      </c>
      <c r="F13" s="16">
        <v>486</v>
      </c>
      <c r="G13" s="37">
        <f>G12+G10+G5+G4</f>
        <v>17.628897795508973</v>
      </c>
      <c r="H13" s="17">
        <f>SUM(H4:H12)</f>
        <v>13.926881416186019</v>
      </c>
      <c r="I13" s="17">
        <f>SUM(I4:I12)</f>
        <v>460.70680800000002</v>
      </c>
      <c r="K13" s="18">
        <f>D12+D10+D5+D4</f>
        <v>458.3771984</v>
      </c>
      <c r="L13" s="18">
        <f>F12+F10+F5+F4</f>
        <v>485.97582552879578</v>
      </c>
    </row>
    <row r="14" spans="1:12" ht="19.5" customHeight="1" x14ac:dyDescent="0.25">
      <c r="A14" s="4"/>
      <c r="B14" s="9" t="s">
        <v>12</v>
      </c>
      <c r="C14" s="5" t="s">
        <v>23</v>
      </c>
      <c r="D14" s="10">
        <f>D13/$F$2*1000/10</f>
        <v>16.628577647186852</v>
      </c>
      <c r="E14" s="10">
        <f t="shared" ref="E14:F14" si="5">E13/$F$2*1000/10</f>
        <v>37.284071534806102</v>
      </c>
      <c r="F14" s="10">
        <f t="shared" si="5"/>
        <v>17.629774730656219</v>
      </c>
      <c r="G14" s="10"/>
      <c r="I14" s="17"/>
    </row>
    <row r="15" spans="1:12" ht="18.75" customHeight="1" x14ac:dyDescent="0.25">
      <c r="A15" s="4"/>
      <c r="B15" s="9" t="s">
        <v>24</v>
      </c>
      <c r="C15" s="5" t="s">
        <v>23</v>
      </c>
      <c r="D15" s="8">
        <f>F2*H15/1000*10</f>
        <v>90.971099999999993</v>
      </c>
      <c r="E15" s="8">
        <f>G2*I15/1000*10</f>
        <v>0</v>
      </c>
      <c r="F15" s="8">
        <f>D15</f>
        <v>90.971099999999993</v>
      </c>
      <c r="G15" s="10">
        <f>F15/$F$2/10*1000</f>
        <v>3.3</v>
      </c>
      <c r="H15" s="3">
        <v>3.3</v>
      </c>
      <c r="I15" s="17">
        <f t="shared" si="1"/>
        <v>109.16531999999998</v>
      </c>
    </row>
    <row r="16" spans="1:12" x14ac:dyDescent="0.25">
      <c r="A16" s="4"/>
      <c r="B16" s="4" t="s">
        <v>14</v>
      </c>
      <c r="C16" s="5" t="s">
        <v>4</v>
      </c>
      <c r="D16" s="8">
        <f>D15+D13</f>
        <v>549.37109999999996</v>
      </c>
      <c r="E16" s="8">
        <f t="shared" ref="E16:G16" si="6">E15+E13</f>
        <v>1027.81</v>
      </c>
      <c r="F16" s="8">
        <f t="shared" si="6"/>
        <v>576.97109999999998</v>
      </c>
      <c r="G16" s="10">
        <f t="shared" si="6"/>
        <v>20.928897795508973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13.93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0">
        <v>19.03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x14ac:dyDescent="0.25">
      <c r="B36" s="29" t="s">
        <v>74</v>
      </c>
      <c r="C36" s="32">
        <f>D16</f>
        <v>549.37109999999996</v>
      </c>
    </row>
    <row r="37" spans="1:6" x14ac:dyDescent="0.25">
      <c r="B37" s="29" t="s">
        <v>75</v>
      </c>
      <c r="C37" s="34">
        <v>509.2</v>
      </c>
    </row>
    <row r="38" spans="1:6" x14ac:dyDescent="0.25">
      <c r="B38" s="29" t="s">
        <v>76</v>
      </c>
      <c r="C38" s="32">
        <f>F16</f>
        <v>576.97109999999998</v>
      </c>
    </row>
    <row r="39" spans="1:6" ht="25.5" x14ac:dyDescent="0.25">
      <c r="B39" s="30" t="s">
        <v>78</v>
      </c>
      <c r="C39" s="32">
        <f>C36-C38</f>
        <v>-27.600000000000023</v>
      </c>
    </row>
    <row r="40" spans="1:6" x14ac:dyDescent="0.25">
      <c r="B40" s="33" t="s">
        <v>109</v>
      </c>
      <c r="C40" s="32">
        <f>347.5-12.5</f>
        <v>335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34:F34"/>
    <mergeCell ref="D29:F29"/>
    <mergeCell ref="B30:F30"/>
    <mergeCell ref="D31:F31"/>
    <mergeCell ref="D32:F32"/>
    <mergeCell ref="B33:F33"/>
  </mergeCells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workbookViewId="0">
      <selection activeCell="P7" sqref="P7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1406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35</v>
      </c>
      <c r="B2" s="54"/>
      <c r="F2" s="1">
        <v>1344.35</v>
      </c>
    </row>
    <row r="3" spans="1:12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2" ht="43.5" customHeight="1" x14ac:dyDescent="0.25">
      <c r="A4" s="35" t="s">
        <v>3</v>
      </c>
      <c r="B4" s="7" t="s">
        <v>97</v>
      </c>
      <c r="C4" s="11" t="s">
        <v>4</v>
      </c>
      <c r="D4" s="13">
        <f>H4*$F$2*12/1000</f>
        <v>22.585079999999994</v>
      </c>
      <c r="E4" s="13">
        <f>42.9+22.1</f>
        <v>65</v>
      </c>
      <c r="F4" s="27">
        <f>$F$13/$D$13*D4+40</f>
        <v>86.369151245937161</v>
      </c>
      <c r="G4" s="10">
        <f>F4/$F$2/10*1000</f>
        <v>6.4246030606566125</v>
      </c>
      <c r="H4" s="3">
        <v>1.4</v>
      </c>
      <c r="I4" s="18">
        <f>H4*$F$2*12/1000</f>
        <v>22.585079999999994</v>
      </c>
    </row>
    <row r="5" spans="1:12" x14ac:dyDescent="0.25">
      <c r="A5" s="42"/>
      <c r="B5" s="7" t="s">
        <v>110</v>
      </c>
      <c r="C5" s="11"/>
      <c r="D5" s="27"/>
      <c r="E5" s="27"/>
      <c r="F5" s="27">
        <v>66.099999999999994</v>
      </c>
      <c r="G5" s="10">
        <f t="shared" ref="G5:G12" si="0">F5/$F$2/10*1000</f>
        <v>4.9168743258823966</v>
      </c>
      <c r="I5" s="18"/>
    </row>
    <row r="6" spans="1:12" ht="42.75" customHeight="1" x14ac:dyDescent="0.25">
      <c r="A6" s="35" t="s">
        <v>5</v>
      </c>
      <c r="B6" s="7" t="s">
        <v>98</v>
      </c>
      <c r="C6" s="11" t="s">
        <v>4</v>
      </c>
      <c r="D6" s="27">
        <f>H6*$F$2*12/1000-D7</f>
        <v>41.079584000000004</v>
      </c>
      <c r="E6" s="27"/>
      <c r="F6" s="27">
        <f>$F$13/$D$13*D6+0.1</f>
        <v>84.4399909859155</v>
      </c>
      <c r="G6" s="10">
        <f t="shared" si="0"/>
        <v>6.2811017209741138</v>
      </c>
      <c r="H6" s="3">
        <v>2.72</v>
      </c>
      <c r="I6" s="18"/>
    </row>
    <row r="7" spans="1:12" ht="39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0.20827909398594116</v>
      </c>
      <c r="I7" s="18">
        <f t="shared" ref="I7:I12" si="1">H7*$F$2*12/1000</f>
        <v>0</v>
      </c>
    </row>
    <row r="8" spans="1:12" ht="42" customHeight="1" x14ac:dyDescent="0.25">
      <c r="A8" s="6"/>
      <c r="B8" s="9" t="s">
        <v>27</v>
      </c>
      <c r="C8" s="5" t="s">
        <v>4</v>
      </c>
      <c r="D8" s="4">
        <v>1.6</v>
      </c>
      <c r="E8" s="4">
        <v>1.6</v>
      </c>
      <c r="F8" s="4">
        <v>1.6</v>
      </c>
      <c r="G8" s="10">
        <f t="shared" si="0"/>
        <v>0.11901662513482353</v>
      </c>
      <c r="H8" s="3">
        <v>0.2</v>
      </c>
      <c r="I8" s="18">
        <f t="shared" si="1"/>
        <v>3.2264400000000002</v>
      </c>
    </row>
    <row r="9" spans="1:12" ht="31.5" customHeight="1" x14ac:dyDescent="0.25">
      <c r="A9" s="6"/>
      <c r="B9" s="9" t="s">
        <v>114</v>
      </c>
      <c r="C9" s="5" t="s">
        <v>4</v>
      </c>
      <c r="D9" s="4">
        <v>2.5</v>
      </c>
      <c r="E9" s="4">
        <v>2.5</v>
      </c>
      <c r="F9" s="4">
        <v>2.5</v>
      </c>
      <c r="G9" s="10">
        <f t="shared" si="0"/>
        <v>0.18596347677316175</v>
      </c>
      <c r="I9" s="18">
        <f t="shared" si="1"/>
        <v>0</v>
      </c>
    </row>
    <row r="10" spans="1:12" ht="25.5" x14ac:dyDescent="0.25">
      <c r="A10" s="6" t="s">
        <v>5</v>
      </c>
      <c r="B10" s="7" t="s">
        <v>31</v>
      </c>
      <c r="C10" s="11" t="s">
        <v>4</v>
      </c>
      <c r="D10" s="27">
        <f>H10*$F$2*10/1000</f>
        <v>83.887439999999998</v>
      </c>
      <c r="E10" s="13">
        <v>91.4</v>
      </c>
      <c r="F10" s="27">
        <f>$F$13/$D$13*D10-40</f>
        <v>132.22827605633805</v>
      </c>
      <c r="G10" s="10">
        <f t="shared" si="0"/>
        <v>9.8358519772632178</v>
      </c>
      <c r="H10" s="3">
        <v>6.24</v>
      </c>
      <c r="I10" s="18">
        <f t="shared" si="1"/>
        <v>100.66492800000002</v>
      </c>
    </row>
    <row r="11" spans="1:12" x14ac:dyDescent="0.25">
      <c r="A11" s="6"/>
      <c r="B11" s="4" t="s">
        <v>9</v>
      </c>
      <c r="C11" s="5" t="s">
        <v>4</v>
      </c>
      <c r="D11" s="8">
        <v>5</v>
      </c>
      <c r="E11" s="8">
        <v>5</v>
      </c>
      <c r="F11" s="8">
        <v>5</v>
      </c>
      <c r="G11" s="10">
        <f t="shared" si="0"/>
        <v>0.37192695354632349</v>
      </c>
      <c r="I11" s="17">
        <f t="shared" si="1"/>
        <v>0</v>
      </c>
    </row>
    <row r="12" spans="1:12" x14ac:dyDescent="0.25">
      <c r="A12" s="6" t="s">
        <v>6</v>
      </c>
      <c r="B12" s="7" t="s">
        <v>10</v>
      </c>
      <c r="C12" s="11" t="s">
        <v>4</v>
      </c>
      <c r="D12" s="27">
        <f>H12*$F$2*12/1000</f>
        <v>38.717280000000002</v>
      </c>
      <c r="E12" s="6">
        <v>37.9</v>
      </c>
      <c r="F12" s="27">
        <f>$F$13/$D$13*D12</f>
        <v>79.489973564463725</v>
      </c>
      <c r="G12" s="10">
        <f t="shared" si="0"/>
        <v>5.9128927410617571</v>
      </c>
      <c r="H12" s="3">
        <v>2.4</v>
      </c>
      <c r="I12" s="17">
        <f t="shared" si="1"/>
        <v>38.717280000000002</v>
      </c>
    </row>
    <row r="13" spans="1:12" x14ac:dyDescent="0.25">
      <c r="A13" s="14"/>
      <c r="B13" s="14" t="s">
        <v>13</v>
      </c>
      <c r="C13" s="15" t="s">
        <v>4</v>
      </c>
      <c r="D13" s="16">
        <v>184.6</v>
      </c>
      <c r="E13" s="16">
        <f>SUM(E4:E12)</f>
        <v>206.20000000000002</v>
      </c>
      <c r="F13" s="16">
        <v>379</v>
      </c>
      <c r="G13" s="37">
        <f>G4+G6+G10+G12</f>
        <v>28.4544494999557</v>
      </c>
      <c r="H13" s="3">
        <f>SUM(H4:H12)</f>
        <v>12.96</v>
      </c>
      <c r="I13" s="18">
        <f>SUM(I4:I12)</f>
        <v>165.19372800000002</v>
      </c>
      <c r="K13" s="18">
        <f>D12+D10+D6+D4</f>
        <v>186.269384</v>
      </c>
      <c r="L13" s="18">
        <f>F12+F10+F6+F4</f>
        <v>382.52739185265443</v>
      </c>
    </row>
    <row r="14" spans="1:12" ht="14.25" customHeight="1" x14ac:dyDescent="0.25">
      <c r="A14" s="4"/>
      <c r="B14" s="9" t="s">
        <v>12</v>
      </c>
      <c r="C14" s="5" t="s">
        <v>23</v>
      </c>
      <c r="D14" s="10">
        <f>D13/$F$2*1000/12</f>
        <v>11.442952604108555</v>
      </c>
      <c r="E14" s="10">
        <f t="shared" ref="E14:F14" si="2">E13/$F$2*1000/12</f>
        <v>12.781889636875318</v>
      </c>
      <c r="F14" s="10">
        <f t="shared" si="2"/>
        <v>23.493385899009439</v>
      </c>
      <c r="G14" s="10"/>
      <c r="I14" s="18"/>
    </row>
    <row r="15" spans="1:12" ht="16.5" customHeight="1" x14ac:dyDescent="0.25">
      <c r="A15" s="4"/>
      <c r="B15" s="9" t="s">
        <v>24</v>
      </c>
      <c r="C15" s="5" t="s">
        <v>23</v>
      </c>
      <c r="D15" s="8">
        <f>F2*H15/1000*10</f>
        <v>44.363549999999996</v>
      </c>
      <c r="E15" s="8">
        <f>G2*I15/1000*12</f>
        <v>0</v>
      </c>
      <c r="F15" s="27">
        <f>D15</f>
        <v>44.363549999999996</v>
      </c>
      <c r="G15" s="10">
        <f>F15/$F$2/10*1000</f>
        <v>3.3</v>
      </c>
      <c r="H15" s="3">
        <v>3.3</v>
      </c>
      <c r="I15" s="18">
        <f>H15*F2/1000*12</f>
        <v>53.236260000000001</v>
      </c>
    </row>
    <row r="16" spans="1:12" ht="16.5" customHeight="1" x14ac:dyDescent="0.25">
      <c r="A16" s="4"/>
      <c r="B16" s="4" t="s">
        <v>14</v>
      </c>
      <c r="C16" s="5" t="s">
        <v>4</v>
      </c>
      <c r="D16" s="8">
        <f>D13+D15</f>
        <v>228.96355</v>
      </c>
      <c r="E16" s="8">
        <f t="shared" ref="E16:G16" si="3">E13+E15</f>
        <v>206.20000000000002</v>
      </c>
      <c r="F16" s="8">
        <f t="shared" si="3"/>
        <v>423.36354999999998</v>
      </c>
      <c r="G16" s="10">
        <f t="shared" si="3"/>
        <v>31.754449499955701</v>
      </c>
      <c r="H16" s="8">
        <f t="shared" ref="H16" si="4">H13+H15</f>
        <v>16.260000000000002</v>
      </c>
      <c r="I16" s="8">
        <f t="shared" ref="I16" si="5">I13+I15</f>
        <v>218.42998800000004</v>
      </c>
    </row>
    <row r="17" spans="1:10" ht="25.5" customHeight="1" x14ac:dyDescent="0.25">
      <c r="A17" s="4"/>
      <c r="B17" s="47" t="s">
        <v>32</v>
      </c>
      <c r="C17" s="48"/>
      <c r="D17" s="48"/>
      <c r="E17" s="48"/>
      <c r="F17" s="49"/>
    </row>
    <row r="18" spans="1:10" x14ac:dyDescent="0.25">
      <c r="A18" s="4"/>
      <c r="B18" s="4" t="s">
        <v>104</v>
      </c>
      <c r="C18" s="5" t="s">
        <v>15</v>
      </c>
      <c r="D18" s="44">
        <v>17.03</v>
      </c>
      <c r="E18" s="45"/>
      <c r="F18" s="46"/>
      <c r="J18" s="28"/>
    </row>
    <row r="19" spans="1:10" x14ac:dyDescent="0.25">
      <c r="A19" s="4"/>
      <c r="B19" s="4" t="s">
        <v>105</v>
      </c>
      <c r="C19" s="5" t="s">
        <v>15</v>
      </c>
      <c r="D19" s="44">
        <v>17.59</v>
      </c>
      <c r="E19" s="45"/>
      <c r="F19" s="46"/>
    </row>
    <row r="20" spans="1:10" ht="14.25" x14ac:dyDescent="0.25">
      <c r="A20" s="4"/>
      <c r="B20" s="47" t="s">
        <v>16</v>
      </c>
      <c r="C20" s="48"/>
      <c r="D20" s="48"/>
      <c r="E20" s="48"/>
      <c r="F20" s="49"/>
    </row>
    <row r="21" spans="1:10" x14ac:dyDescent="0.25">
      <c r="A21" s="4"/>
      <c r="B21" s="4" t="s">
        <v>104</v>
      </c>
      <c r="C21" s="5" t="s">
        <v>15</v>
      </c>
      <c r="D21" s="44">
        <v>21.65</v>
      </c>
      <c r="E21" s="45"/>
      <c r="F21" s="46"/>
    </row>
    <row r="22" spans="1:10" x14ac:dyDescent="0.25">
      <c r="A22" s="4"/>
      <c r="B22" s="4" t="s">
        <v>105</v>
      </c>
      <c r="C22" s="5" t="s">
        <v>15</v>
      </c>
      <c r="D22" s="44">
        <v>22.37</v>
      </c>
      <c r="E22" s="45"/>
      <c r="F22" s="46"/>
    </row>
    <row r="23" spans="1:10" ht="14.25" x14ac:dyDescent="0.25">
      <c r="A23" s="4"/>
      <c r="B23" s="47" t="s">
        <v>17</v>
      </c>
      <c r="C23" s="48"/>
      <c r="D23" s="48"/>
      <c r="E23" s="48"/>
      <c r="F23" s="49"/>
    </row>
    <row r="24" spans="1:10" x14ac:dyDescent="0.25">
      <c r="A24" s="4"/>
      <c r="B24" s="4" t="s">
        <v>104</v>
      </c>
      <c r="C24" s="5" t="s">
        <v>15</v>
      </c>
      <c r="D24" s="44">
        <v>106.36</v>
      </c>
      <c r="E24" s="45"/>
      <c r="F24" s="46"/>
    </row>
    <row r="25" spans="1:10" x14ac:dyDescent="0.25">
      <c r="A25" s="4"/>
      <c r="B25" s="4" t="s">
        <v>106</v>
      </c>
      <c r="C25" s="5" t="s">
        <v>15</v>
      </c>
      <c r="D25" s="44">
        <v>16.77</v>
      </c>
      <c r="E25" s="45"/>
      <c r="F25" s="46"/>
    </row>
    <row r="26" spans="1:10" x14ac:dyDescent="0.25">
      <c r="A26" s="4"/>
      <c r="B26" s="38" t="s">
        <v>107</v>
      </c>
      <c r="C26" s="5" t="s">
        <v>108</v>
      </c>
      <c r="D26" s="44">
        <v>1410.61</v>
      </c>
      <c r="E26" s="45"/>
      <c r="F26" s="46"/>
    </row>
    <row r="27" spans="1:10" ht="14.25" x14ac:dyDescent="0.25">
      <c r="A27" s="4"/>
      <c r="B27" s="47" t="s">
        <v>18</v>
      </c>
      <c r="C27" s="48"/>
      <c r="D27" s="48"/>
      <c r="E27" s="48"/>
      <c r="F27" s="49"/>
    </row>
    <row r="28" spans="1:10" x14ac:dyDescent="0.25">
      <c r="A28" s="4"/>
      <c r="B28" s="4" t="s">
        <v>104</v>
      </c>
      <c r="C28" s="5" t="s">
        <v>22</v>
      </c>
      <c r="D28" s="52">
        <f>1296.94*1.18</f>
        <v>1530.3892000000001</v>
      </c>
      <c r="E28" s="50"/>
      <c r="F28" s="51"/>
    </row>
    <row r="29" spans="1:10" x14ac:dyDescent="0.25">
      <c r="A29" s="4"/>
      <c r="B29" s="4" t="s">
        <v>105</v>
      </c>
      <c r="C29" s="5" t="s">
        <v>22</v>
      </c>
      <c r="D29" s="52">
        <v>1580.89</v>
      </c>
      <c r="E29" s="50"/>
      <c r="F29" s="51"/>
    </row>
    <row r="30" spans="1:10" ht="18" customHeight="1" x14ac:dyDescent="0.25">
      <c r="A30" s="4"/>
      <c r="B30" s="47" t="s">
        <v>19</v>
      </c>
      <c r="C30" s="48"/>
      <c r="D30" s="48"/>
      <c r="E30" s="48"/>
      <c r="F30" s="49"/>
    </row>
    <row r="31" spans="1:10" ht="18" customHeight="1" x14ac:dyDescent="0.25">
      <c r="A31" s="4"/>
      <c r="B31" s="4" t="s">
        <v>20</v>
      </c>
      <c r="C31" s="5" t="s">
        <v>23</v>
      </c>
      <c r="D31" s="44">
        <v>12.96</v>
      </c>
      <c r="E31" s="45"/>
      <c r="F31" s="46"/>
    </row>
    <row r="32" spans="1:10" ht="18" customHeight="1" x14ac:dyDescent="0.25">
      <c r="A32" s="4"/>
      <c r="B32" s="4" t="s">
        <v>105</v>
      </c>
      <c r="C32" s="5" t="s">
        <v>23</v>
      </c>
      <c r="D32" s="52">
        <v>14.9</v>
      </c>
      <c r="E32" s="50"/>
      <c r="F32" s="51"/>
    </row>
    <row r="33" spans="1:6" ht="18" customHeight="1" x14ac:dyDescent="0.25">
      <c r="A33" s="4"/>
      <c r="B33" s="47" t="s">
        <v>24</v>
      </c>
      <c r="C33" s="48"/>
      <c r="D33" s="48"/>
      <c r="E33" s="48"/>
      <c r="F33" s="49"/>
    </row>
    <row r="34" spans="1:6" ht="18" customHeight="1" x14ac:dyDescent="0.25">
      <c r="A34" s="4"/>
      <c r="B34" s="4" t="s">
        <v>29</v>
      </c>
      <c r="C34" s="5" t="s">
        <v>23</v>
      </c>
      <c r="D34" s="52">
        <v>3.3</v>
      </c>
      <c r="E34" s="50"/>
      <c r="F34" s="51"/>
    </row>
    <row r="36" spans="1:6" s="29" customFormat="1" x14ac:dyDescent="0.25">
      <c r="B36" s="29" t="s">
        <v>74</v>
      </c>
      <c r="C36" s="32">
        <f>D16</f>
        <v>228.96355</v>
      </c>
    </row>
    <row r="37" spans="1:6" s="29" customFormat="1" x14ac:dyDescent="0.25">
      <c r="B37" s="29" t="s">
        <v>75</v>
      </c>
      <c r="C37" s="32">
        <v>219.2</v>
      </c>
    </row>
    <row r="38" spans="1:6" s="29" customFormat="1" x14ac:dyDescent="0.25">
      <c r="B38" s="29" t="s">
        <v>76</v>
      </c>
      <c r="C38" s="32">
        <f>F16</f>
        <v>423.36354999999998</v>
      </c>
    </row>
    <row r="39" spans="1:6" ht="25.5" x14ac:dyDescent="0.25">
      <c r="B39" s="30" t="s">
        <v>77</v>
      </c>
      <c r="C39" s="32">
        <f>C36-C38</f>
        <v>-194.39999999999998</v>
      </c>
    </row>
    <row r="40" spans="1:6" x14ac:dyDescent="0.25">
      <c r="B40" s="33" t="s">
        <v>109</v>
      </c>
      <c r="C40" s="34">
        <v>170.6</v>
      </c>
    </row>
  </sheetData>
  <mergeCells count="20">
    <mergeCell ref="A2:B2"/>
    <mergeCell ref="A1:G1"/>
    <mergeCell ref="B17:F17"/>
    <mergeCell ref="D18:F18"/>
    <mergeCell ref="D19:F19"/>
    <mergeCell ref="B20:F20"/>
    <mergeCell ref="D21:F21"/>
    <mergeCell ref="D22:F22"/>
    <mergeCell ref="B23:F23"/>
    <mergeCell ref="D24:F24"/>
    <mergeCell ref="D25:F25"/>
    <mergeCell ref="D26:F26"/>
    <mergeCell ref="B27:F27"/>
    <mergeCell ref="D28:F28"/>
    <mergeCell ref="D29:F29"/>
    <mergeCell ref="B30:F30"/>
    <mergeCell ref="D31:F31"/>
    <mergeCell ref="D32:F32"/>
    <mergeCell ref="B33:F33"/>
    <mergeCell ref="D34:F3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workbookViewId="0">
      <selection activeCell="F15" sqref="F15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28515625" style="3" customWidth="1"/>
    <col min="8" max="9" width="9.140625" style="3" hidden="1" customWidth="1"/>
    <col min="10" max="10" width="9.140625" style="3"/>
    <col min="11" max="12" width="0" style="3" hidden="1" customWidth="1"/>
    <col min="13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37</v>
      </c>
      <c r="B2" s="54"/>
      <c r="F2" s="1">
        <v>1332.58</v>
      </c>
    </row>
    <row r="3" spans="1:12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2" ht="42.75" customHeight="1" x14ac:dyDescent="0.25">
      <c r="A4" s="35" t="s">
        <v>3</v>
      </c>
      <c r="B4" s="7" t="s">
        <v>97</v>
      </c>
      <c r="C4" s="11" t="s">
        <v>4</v>
      </c>
      <c r="D4" s="13">
        <f>H4*$F$2*12/1000</f>
        <v>22.387343999999999</v>
      </c>
      <c r="E4" s="13">
        <f>42.9+22.1</f>
        <v>65</v>
      </c>
      <c r="F4" s="13">
        <f>$F$17/$D$17*D4+18.9</f>
        <v>50.94382337445176</v>
      </c>
      <c r="G4" s="10">
        <f>F4/$F$2/10*1000</f>
        <v>3.8229467179795402</v>
      </c>
      <c r="H4" s="3">
        <v>1.4</v>
      </c>
      <c r="I4" s="17">
        <f>H4*$F$2*12/1000</f>
        <v>22.387343999999999</v>
      </c>
    </row>
    <row r="5" spans="1:12" ht="16.5" customHeight="1" x14ac:dyDescent="0.25">
      <c r="A5" s="42"/>
      <c r="B5" s="7" t="s">
        <v>110</v>
      </c>
      <c r="C5" s="11" t="s">
        <v>4</v>
      </c>
      <c r="D5" s="27"/>
      <c r="E5" s="27"/>
      <c r="F5" s="27">
        <v>33.6</v>
      </c>
      <c r="G5" s="10">
        <f t="shared" ref="G5:G13" si="0">F5/$F$2/10*1000</f>
        <v>2.5214246049017697</v>
      </c>
      <c r="I5" s="17"/>
    </row>
    <row r="6" spans="1:12" ht="44.25" customHeight="1" x14ac:dyDescent="0.25">
      <c r="A6" s="35" t="s">
        <v>5</v>
      </c>
      <c r="B6" s="7" t="s">
        <v>98</v>
      </c>
      <c r="C6" s="11" t="s">
        <v>4</v>
      </c>
      <c r="D6" s="27">
        <f>H6*$F$2*12/1000</f>
        <v>43.495411199999999</v>
      </c>
      <c r="E6" s="27"/>
      <c r="F6" s="27">
        <f t="shared" ref="F6:F13" si="1">$F$17/$D$17*D6</f>
        <v>62.256571127506284</v>
      </c>
      <c r="G6" s="10">
        <f t="shared" si="0"/>
        <v>4.6718824481461745</v>
      </c>
      <c r="H6" s="3">
        <v>2.72</v>
      </c>
      <c r="I6" s="17">
        <f t="shared" ref="I6:I8" si="2">H6*$F$2*12/1000</f>
        <v>43.495411199999999</v>
      </c>
    </row>
    <row r="7" spans="1:12" ht="40.5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0.21011871707514745</v>
      </c>
      <c r="I7" s="17">
        <f t="shared" si="2"/>
        <v>0</v>
      </c>
    </row>
    <row r="8" spans="1:12" ht="42.75" customHeight="1" x14ac:dyDescent="0.25">
      <c r="A8" s="6"/>
      <c r="B8" s="9" t="s">
        <v>27</v>
      </c>
      <c r="C8" s="5" t="s">
        <v>4</v>
      </c>
      <c r="D8" s="4">
        <v>1.7</v>
      </c>
      <c r="E8" s="4">
        <v>1.7</v>
      </c>
      <c r="F8" s="4">
        <v>1.7</v>
      </c>
      <c r="G8" s="10">
        <f t="shared" si="0"/>
        <v>0.12757207822419667</v>
      </c>
      <c r="H8" s="3">
        <v>0.2</v>
      </c>
      <c r="I8" s="17">
        <f t="shared" si="2"/>
        <v>3.1981920000000001</v>
      </c>
    </row>
    <row r="9" spans="1:12" ht="25.5" x14ac:dyDescent="0.25">
      <c r="A9" s="6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0.51028831289678667</v>
      </c>
      <c r="I9" s="17">
        <f t="shared" ref="I9:I13" si="3">H9*$F$2*12/1000</f>
        <v>0</v>
      </c>
    </row>
    <row r="10" spans="1:12" ht="31.5" customHeight="1" x14ac:dyDescent="0.25">
      <c r="A10" s="6"/>
      <c r="B10" s="9" t="s">
        <v>114</v>
      </c>
      <c r="C10" s="5" t="s">
        <v>4</v>
      </c>
      <c r="D10" s="4">
        <v>2.4</v>
      </c>
      <c r="E10" s="4">
        <v>2.4</v>
      </c>
      <c r="F10" s="4">
        <v>2.4</v>
      </c>
      <c r="G10" s="10">
        <f t="shared" si="0"/>
        <v>0.18010175749298354</v>
      </c>
      <c r="I10" s="17">
        <f t="shared" si="3"/>
        <v>0</v>
      </c>
    </row>
    <row r="11" spans="1:12" ht="25.5" x14ac:dyDescent="0.25">
      <c r="A11" s="35" t="s">
        <v>6</v>
      </c>
      <c r="B11" s="7" t="s">
        <v>31</v>
      </c>
      <c r="C11" s="11" t="s">
        <v>4</v>
      </c>
      <c r="D11" s="27">
        <f>H11*$F$2*12/1000-1.3</f>
        <v>98.483590399999983</v>
      </c>
      <c r="E11" s="13">
        <v>91.4</v>
      </c>
      <c r="F11" s="27">
        <f t="shared" si="1"/>
        <v>140.96316097431892</v>
      </c>
      <c r="G11" s="10">
        <f t="shared" si="0"/>
        <v>10.578213763850496</v>
      </c>
      <c r="H11" s="3">
        <v>6.24</v>
      </c>
      <c r="I11" s="17">
        <f t="shared" si="3"/>
        <v>99.78359039999998</v>
      </c>
    </row>
    <row r="12" spans="1:12" x14ac:dyDescent="0.25">
      <c r="A12" s="6"/>
      <c r="B12" s="4" t="s">
        <v>9</v>
      </c>
      <c r="C12" s="5" t="s">
        <v>4</v>
      </c>
      <c r="D12" s="4">
        <v>6.2</v>
      </c>
      <c r="E12" s="4">
        <v>6.2</v>
      </c>
      <c r="F12" s="4">
        <v>6.2</v>
      </c>
      <c r="G12" s="10">
        <f t="shared" si="0"/>
        <v>0.46526287352354084</v>
      </c>
      <c r="I12" s="17"/>
    </row>
    <row r="13" spans="1:12" x14ac:dyDescent="0.25">
      <c r="A13" s="35" t="s">
        <v>99</v>
      </c>
      <c r="B13" s="7" t="s">
        <v>10</v>
      </c>
      <c r="C13" s="11" t="s">
        <v>4</v>
      </c>
      <c r="D13" s="27">
        <f>H13*$F$2*12/1000</f>
        <v>38.378304</v>
      </c>
      <c r="E13" s="6">
        <v>37.9</v>
      </c>
      <c r="F13" s="27">
        <f t="shared" si="1"/>
        <v>54.932268641917311</v>
      </c>
      <c r="G13" s="10">
        <f t="shared" si="0"/>
        <v>4.1222492189525068</v>
      </c>
      <c r="H13" s="3">
        <v>2.4</v>
      </c>
      <c r="I13" s="17">
        <f t="shared" si="3"/>
        <v>38.378304</v>
      </c>
    </row>
    <row r="14" spans="1:12" x14ac:dyDescent="0.25">
      <c r="A14" s="14"/>
      <c r="B14" s="14" t="s">
        <v>13</v>
      </c>
      <c r="C14" s="15" t="s">
        <v>4</v>
      </c>
      <c r="D14" s="16">
        <v>202.7</v>
      </c>
      <c r="E14" s="16">
        <f>SUM(E4:E13)</f>
        <v>214.20000000000002</v>
      </c>
      <c r="F14" s="16">
        <v>309.10000000000002</v>
      </c>
      <c r="G14" s="37">
        <f>G4+G6+G11+G13</f>
        <v>23.195292148928718</v>
      </c>
      <c r="H14" s="3">
        <f>SUM(H4:H13)</f>
        <v>12.96</v>
      </c>
      <c r="I14" s="18">
        <f>SUM(I4:I13)</f>
        <v>207.24284159999996</v>
      </c>
      <c r="K14" s="18">
        <f>D13+D11+D6+D4</f>
        <v>202.7446496</v>
      </c>
      <c r="L14" s="18">
        <f>F13+F11+F6+F4</f>
        <v>309.09582411819429</v>
      </c>
    </row>
    <row r="15" spans="1:12" ht="19.5" customHeight="1" x14ac:dyDescent="0.25">
      <c r="A15" s="4"/>
      <c r="B15" s="9" t="s">
        <v>12</v>
      </c>
      <c r="C15" s="5" t="s">
        <v>23</v>
      </c>
      <c r="D15" s="10">
        <f>D14/$F$2*1000/10</f>
        <v>15.211094268261567</v>
      </c>
      <c r="E15" s="10">
        <f t="shared" ref="E15" si="4">E14/$F$2*1000/12</f>
        <v>13.395068213540652</v>
      </c>
      <c r="F15" s="10">
        <f>F14/$F$2*1000/10</f>
        <v>23.195605517117173</v>
      </c>
      <c r="G15" s="10"/>
      <c r="I15" s="18"/>
    </row>
    <row r="16" spans="1:12" ht="18.75" customHeight="1" x14ac:dyDescent="0.25">
      <c r="A16" s="4"/>
      <c r="B16" s="9" t="s">
        <v>24</v>
      </c>
      <c r="C16" s="5" t="s">
        <v>23</v>
      </c>
      <c r="D16" s="8">
        <f>F2*H16/1000*10</f>
        <v>43.975139999999996</v>
      </c>
      <c r="E16" s="8">
        <v>49.8</v>
      </c>
      <c r="F16" s="27">
        <f>D16</f>
        <v>43.975139999999996</v>
      </c>
      <c r="G16" s="10">
        <f>F16/$F$2/10*1000</f>
        <v>3.3</v>
      </c>
      <c r="H16" s="3">
        <v>3.3</v>
      </c>
      <c r="I16" s="18">
        <f>H16*F2/1000*12</f>
        <v>52.770167999999991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246.67514</v>
      </c>
      <c r="E17" s="8">
        <f t="shared" ref="E17:G17" si="5">E16+E14</f>
        <v>264</v>
      </c>
      <c r="F17" s="8">
        <f t="shared" si="5"/>
        <v>353.07514000000003</v>
      </c>
      <c r="G17" s="10">
        <f t="shared" si="5"/>
        <v>26.495292148928719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2">
        <v>14.9</v>
      </c>
      <c r="E33" s="50"/>
      <c r="F33" s="51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246.67514</v>
      </c>
    </row>
    <row r="38" spans="1:6" s="29" customFormat="1" x14ac:dyDescent="0.25">
      <c r="B38" s="29" t="s">
        <v>75</v>
      </c>
      <c r="C38" s="32">
        <v>235.7</v>
      </c>
    </row>
    <row r="39" spans="1:6" s="29" customFormat="1" x14ac:dyDescent="0.25">
      <c r="B39" s="29" t="s">
        <v>76</v>
      </c>
      <c r="C39" s="32">
        <f>F17</f>
        <v>353.07514000000003</v>
      </c>
    </row>
    <row r="40" spans="1:6" ht="25.5" x14ac:dyDescent="0.25">
      <c r="B40" s="30" t="s">
        <v>77</v>
      </c>
      <c r="C40" s="32">
        <v>46</v>
      </c>
    </row>
    <row r="41" spans="1:6" x14ac:dyDescent="0.25">
      <c r="B41" s="33" t="s">
        <v>109</v>
      </c>
      <c r="C41" s="32">
        <v>99.7</v>
      </c>
    </row>
  </sheetData>
  <mergeCells count="20">
    <mergeCell ref="A2:B2"/>
    <mergeCell ref="A1:G1"/>
    <mergeCell ref="B18:F18"/>
    <mergeCell ref="D19:F19"/>
    <mergeCell ref="D20:F20"/>
    <mergeCell ref="B21:F21"/>
    <mergeCell ref="D22:F22"/>
    <mergeCell ref="D23:F23"/>
    <mergeCell ref="B24:F24"/>
    <mergeCell ref="D25:F25"/>
    <mergeCell ref="D26:F26"/>
    <mergeCell ref="D27:F27"/>
    <mergeCell ref="B28:F28"/>
    <mergeCell ref="D29:F29"/>
    <mergeCell ref="D30:F30"/>
    <mergeCell ref="B31:F31"/>
    <mergeCell ref="D32:F32"/>
    <mergeCell ref="D33:F33"/>
    <mergeCell ref="B34:F34"/>
    <mergeCell ref="D35:F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1"/>
  <sheetViews>
    <sheetView workbookViewId="0">
      <selection activeCell="G14" sqref="G14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2.85546875" style="3" customWidth="1"/>
    <col min="8" max="8" width="10" style="3" hidden="1" customWidth="1"/>
    <col min="9" max="10" width="9.140625" style="3" hidden="1" customWidth="1"/>
    <col min="11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17.25" customHeight="1" x14ac:dyDescent="0.25">
      <c r="A2" s="54" t="s">
        <v>38</v>
      </c>
      <c r="B2" s="54"/>
      <c r="F2" s="1">
        <v>2524.44</v>
      </c>
    </row>
    <row r="3" spans="1:13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3" ht="38.25" x14ac:dyDescent="0.25">
      <c r="A4" s="35" t="s">
        <v>3</v>
      </c>
      <c r="B4" s="7" t="s">
        <v>97</v>
      </c>
      <c r="C4" s="11" t="s">
        <v>4</v>
      </c>
      <c r="D4" s="13">
        <f>I4*$F$2*10/1000+13</f>
        <v>48.342159999999993</v>
      </c>
      <c r="E4" s="13">
        <f>42.9+22.1</f>
        <v>65</v>
      </c>
      <c r="F4" s="27">
        <v>60</v>
      </c>
      <c r="G4" s="10">
        <f>F4/$F$2/10*1000</f>
        <v>2.3767647478252605</v>
      </c>
      <c r="H4" s="3">
        <f>D4/$F$2*1000/12</f>
        <v>1.5958047461351164</v>
      </c>
      <c r="I4" s="3">
        <v>1.4</v>
      </c>
      <c r="J4" s="17">
        <f>I4*$F$2*12/1000</f>
        <v>42.410591999999994</v>
      </c>
    </row>
    <row r="5" spans="1:13" x14ac:dyDescent="0.25">
      <c r="A5" s="42"/>
      <c r="B5" s="7" t="s">
        <v>110</v>
      </c>
      <c r="C5" s="11"/>
      <c r="D5" s="27"/>
      <c r="E5" s="27"/>
      <c r="F5" s="27">
        <v>60</v>
      </c>
      <c r="G5" s="10">
        <f t="shared" ref="G5:G13" si="0">F5/$F$2/10*1000</f>
        <v>2.3767647478252605</v>
      </c>
      <c r="J5" s="17"/>
    </row>
    <row r="6" spans="1:13" ht="42.75" customHeight="1" x14ac:dyDescent="0.25">
      <c r="A6" s="35" t="s">
        <v>5</v>
      </c>
      <c r="B6" s="7" t="s">
        <v>98</v>
      </c>
      <c r="C6" s="11" t="s">
        <v>4</v>
      </c>
      <c r="D6" s="27">
        <f>I6*$F$2*10/1000</f>
        <v>68.664768000000009</v>
      </c>
      <c r="E6" s="27"/>
      <c r="F6" s="27">
        <f>$F$14/$D$14*D6+0.1</f>
        <v>82.76668497695853</v>
      </c>
      <c r="G6" s="10">
        <f t="shared" si="0"/>
        <v>3.2786156524598931</v>
      </c>
      <c r="I6" s="3">
        <v>2.72</v>
      </c>
      <c r="J6" s="17"/>
    </row>
    <row r="7" spans="1:13" ht="40.5" customHeight="1" x14ac:dyDescent="0.25">
      <c r="A7" s="6"/>
      <c r="B7" s="9" t="s">
        <v>28</v>
      </c>
      <c r="C7" s="5" t="s">
        <v>4</v>
      </c>
      <c r="D7" s="8">
        <v>3.8</v>
      </c>
      <c r="E7" s="8">
        <v>3.8</v>
      </c>
      <c r="F7" s="8">
        <v>3.8</v>
      </c>
      <c r="G7" s="10">
        <v>0.16</v>
      </c>
      <c r="J7" s="17"/>
    </row>
    <row r="8" spans="1:13" ht="42.75" customHeight="1" x14ac:dyDescent="0.25">
      <c r="A8" s="6"/>
      <c r="B8" s="9" t="s">
        <v>27</v>
      </c>
      <c r="C8" s="5" t="s">
        <v>4</v>
      </c>
      <c r="D8" s="4">
        <v>5.6</v>
      </c>
      <c r="E8" s="4">
        <v>5.6</v>
      </c>
      <c r="F8" s="4">
        <v>5.6</v>
      </c>
      <c r="G8" s="10">
        <f t="shared" si="0"/>
        <v>0.22183137646369092</v>
      </c>
      <c r="J8" s="17"/>
    </row>
    <row r="9" spans="1:13" ht="25.5" x14ac:dyDescent="0.25">
      <c r="A9" s="6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0.2693666714201961</v>
      </c>
      <c r="J9" s="17">
        <f t="shared" ref="J9:J13" si="1">I9*$F$2*12/1000</f>
        <v>0</v>
      </c>
    </row>
    <row r="10" spans="1:13" ht="31.5" customHeight="1" x14ac:dyDescent="0.25">
      <c r="A10" s="6"/>
      <c r="B10" s="9" t="s">
        <v>114</v>
      </c>
      <c r="C10" s="5" t="s">
        <v>4</v>
      </c>
      <c r="D10" s="4">
        <v>3.4</v>
      </c>
      <c r="E10" s="4">
        <v>3.4</v>
      </c>
      <c r="F10" s="4">
        <v>3.4</v>
      </c>
      <c r="G10" s="10">
        <f t="shared" si="0"/>
        <v>0.13468333571009805</v>
      </c>
      <c r="J10" s="17">
        <f t="shared" si="1"/>
        <v>0</v>
      </c>
    </row>
    <row r="11" spans="1:13" ht="25.5" x14ac:dyDescent="0.25">
      <c r="A11" s="6" t="s">
        <v>5</v>
      </c>
      <c r="B11" s="7" t="s">
        <v>31</v>
      </c>
      <c r="C11" s="11" t="s">
        <v>4</v>
      </c>
      <c r="D11" s="27">
        <f>I11*$F$2*10/1000</f>
        <v>157.52505600000001</v>
      </c>
      <c r="E11" s="13">
        <v>91.4</v>
      </c>
      <c r="F11" s="27">
        <f>$F$14/$D$14*D11-1.9</f>
        <v>187.74710082949309</v>
      </c>
      <c r="G11" s="10">
        <f t="shared" si="0"/>
        <v>7.4371781792988978</v>
      </c>
      <c r="I11" s="3">
        <v>6.24</v>
      </c>
      <c r="J11" s="17">
        <f t="shared" si="1"/>
        <v>189.03006719999999</v>
      </c>
    </row>
    <row r="12" spans="1:13" x14ac:dyDescent="0.25">
      <c r="A12" s="6"/>
      <c r="B12" s="4" t="s">
        <v>9</v>
      </c>
      <c r="C12" s="5" t="s">
        <v>4</v>
      </c>
      <c r="D12" s="4">
        <v>5.3</v>
      </c>
      <c r="E12" s="4">
        <v>7.3</v>
      </c>
      <c r="F12" s="4">
        <v>7.3</v>
      </c>
      <c r="G12" s="10">
        <f t="shared" si="0"/>
        <v>0.28917304431873997</v>
      </c>
      <c r="J12" s="17">
        <f t="shared" si="1"/>
        <v>0</v>
      </c>
    </row>
    <row r="13" spans="1:13" x14ac:dyDescent="0.25">
      <c r="A13" s="6" t="s">
        <v>6</v>
      </c>
      <c r="B13" s="7" t="s">
        <v>10</v>
      </c>
      <c r="C13" s="11" t="s">
        <v>4</v>
      </c>
      <c r="D13" s="27">
        <f>I13*$F$2*12/1000</f>
        <v>72.703872000000004</v>
      </c>
      <c r="E13" s="6">
        <v>37.9</v>
      </c>
      <c r="F13" s="27">
        <f>$F$14/$D$14*D13</f>
        <v>87.529431152073741</v>
      </c>
      <c r="G13" s="10">
        <f t="shared" si="0"/>
        <v>3.4672811059907835</v>
      </c>
      <c r="I13" s="3">
        <v>2.4</v>
      </c>
      <c r="J13" s="17">
        <f t="shared" si="1"/>
        <v>72.703872000000004</v>
      </c>
    </row>
    <row r="14" spans="1:13" x14ac:dyDescent="0.25">
      <c r="A14" s="14"/>
      <c r="B14" s="14" t="s">
        <v>13</v>
      </c>
      <c r="C14" s="15" t="s">
        <v>4</v>
      </c>
      <c r="D14" s="16">
        <v>347.2</v>
      </c>
      <c r="E14" s="16">
        <f t="shared" ref="E14" si="2">SUM(E4:E13)</f>
        <v>221.20000000000002</v>
      </c>
      <c r="F14" s="16">
        <v>418</v>
      </c>
      <c r="G14" s="37">
        <f>G13+G11+G6+G4</f>
        <v>16.559839685574833</v>
      </c>
      <c r="I14" s="3">
        <f>SUM(I4:I13)</f>
        <v>12.76</v>
      </c>
      <c r="J14" s="18">
        <f>SUM(J4:J13)</f>
        <v>304.14453119999996</v>
      </c>
      <c r="L14" s="18">
        <f>D13+D11+D6+D4</f>
        <v>347.23585599999996</v>
      </c>
      <c r="M14" s="18">
        <f>F13+F11+F6+F4</f>
        <v>418.04321695852536</v>
      </c>
    </row>
    <row r="15" spans="1:13" ht="19.5" customHeight="1" x14ac:dyDescent="0.25">
      <c r="A15" s="4"/>
      <c r="B15" s="9" t="s">
        <v>12</v>
      </c>
      <c r="C15" s="5" t="s">
        <v>23</v>
      </c>
      <c r="D15" s="10">
        <f>D14/$F$2*1000/10</f>
        <v>13.753545340748838</v>
      </c>
      <c r="E15" s="10">
        <f t="shared" ref="E15:F15" si="3">E14/$F$2*1000/10</f>
        <v>8.762339370315793</v>
      </c>
      <c r="F15" s="10">
        <f t="shared" si="3"/>
        <v>16.558127743182645</v>
      </c>
      <c r="G15" s="10"/>
      <c r="J15" s="18"/>
    </row>
    <row r="16" spans="1:13" ht="18.75" customHeight="1" x14ac:dyDescent="0.25">
      <c r="A16" s="4"/>
      <c r="B16" s="9" t="s">
        <v>24</v>
      </c>
      <c r="C16" s="5" t="s">
        <v>23</v>
      </c>
      <c r="D16" s="8">
        <f>F2*I16/1000*10</f>
        <v>83.306520000000006</v>
      </c>
      <c r="E16" s="8">
        <f t="shared" ref="E16" si="4">G2*J16/1000*12</f>
        <v>0</v>
      </c>
      <c r="F16" s="8">
        <f>D16</f>
        <v>83.306520000000006</v>
      </c>
      <c r="G16" s="10">
        <f>F16/$F$2/10*1000</f>
        <v>3.3</v>
      </c>
      <c r="I16" s="3">
        <v>3.3</v>
      </c>
      <c r="J16" s="18">
        <f>I16*F2/1000*12</f>
        <v>99.967824000000007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430.50652000000002</v>
      </c>
      <c r="E17" s="8">
        <f t="shared" ref="E17:G17" si="5">E16+E14</f>
        <v>221.20000000000002</v>
      </c>
      <c r="F17" s="8">
        <f t="shared" si="5"/>
        <v>501.30651999999998</v>
      </c>
      <c r="G17" s="10">
        <f t="shared" si="5"/>
        <v>19.859839685574833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52">
        <v>14.9</v>
      </c>
      <c r="E33" s="50"/>
      <c r="F33" s="51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430.50652000000002</v>
      </c>
    </row>
    <row r="38" spans="1:6" s="29" customFormat="1" x14ac:dyDescent="0.25">
      <c r="B38" s="29" t="s">
        <v>75</v>
      </c>
      <c r="C38" s="32">
        <v>414.3</v>
      </c>
    </row>
    <row r="39" spans="1:6" s="29" customFormat="1" x14ac:dyDescent="0.25">
      <c r="B39" s="29" t="s">
        <v>76</v>
      </c>
      <c r="C39" s="32">
        <f>F17</f>
        <v>501.30651999999998</v>
      </c>
    </row>
    <row r="40" spans="1:6" ht="25.5" x14ac:dyDescent="0.25">
      <c r="B40" s="30" t="s">
        <v>77</v>
      </c>
      <c r="C40" s="32">
        <f>C37-C39</f>
        <v>-70.799999999999955</v>
      </c>
    </row>
    <row r="41" spans="1:6" x14ac:dyDescent="0.25">
      <c r="B41" s="33" t="s">
        <v>109</v>
      </c>
      <c r="C41" s="32">
        <f>491.9-6.9</f>
        <v>485</v>
      </c>
    </row>
  </sheetData>
  <mergeCells count="20">
    <mergeCell ref="A2:B2"/>
    <mergeCell ref="A1:G1"/>
    <mergeCell ref="B18:F18"/>
    <mergeCell ref="D19:F19"/>
    <mergeCell ref="D20:F20"/>
    <mergeCell ref="B21:F21"/>
    <mergeCell ref="D22:F22"/>
    <mergeCell ref="D23:F23"/>
    <mergeCell ref="B24:F24"/>
    <mergeCell ref="D25:F25"/>
    <mergeCell ref="D26:F26"/>
    <mergeCell ref="D27:F27"/>
    <mergeCell ref="B28:F28"/>
    <mergeCell ref="D29:F29"/>
    <mergeCell ref="D30:F30"/>
    <mergeCell ref="B31:F31"/>
    <mergeCell ref="D32:F32"/>
    <mergeCell ref="D33:F33"/>
    <mergeCell ref="B34:F34"/>
    <mergeCell ref="D35:F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1"/>
  <sheetViews>
    <sheetView workbookViewId="0">
      <selection activeCell="L18" sqref="L18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42578125" style="3" customWidth="1"/>
    <col min="8" max="8" width="10" style="3" customWidth="1"/>
    <col min="9" max="10" width="9.140625" style="3" hidden="1" customWidth="1"/>
    <col min="11" max="16384" width="9.140625" style="3"/>
  </cols>
  <sheetData>
    <row r="1" spans="1:12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2" ht="17.25" customHeight="1" x14ac:dyDescent="0.25">
      <c r="A2" s="54" t="s">
        <v>21</v>
      </c>
      <c r="B2" s="54"/>
      <c r="F2" s="1">
        <v>1392.68</v>
      </c>
    </row>
    <row r="3" spans="1:12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2" ht="45.75" customHeight="1" x14ac:dyDescent="0.25">
      <c r="A4" s="35" t="s">
        <v>3</v>
      </c>
      <c r="B4" s="7" t="s">
        <v>97</v>
      </c>
      <c r="C4" s="11" t="s">
        <v>4</v>
      </c>
      <c r="D4" s="13">
        <f>I4*$F$2*10/1000</f>
        <v>19.497520000000002</v>
      </c>
      <c r="E4" s="13">
        <f>42.9+22.1</f>
        <v>65</v>
      </c>
      <c r="F4" s="27">
        <f>35.4*1.18</f>
        <v>41.771999999999998</v>
      </c>
      <c r="G4" s="10">
        <f>F4/$F$2/10*1000</f>
        <v>2.9993968463681533</v>
      </c>
      <c r="I4" s="3">
        <v>1.4</v>
      </c>
      <c r="J4" s="17">
        <f>I4*$F$2*12/1000</f>
        <v>23.397023999999998</v>
      </c>
    </row>
    <row r="5" spans="1:12" x14ac:dyDescent="0.25">
      <c r="A5" s="42"/>
      <c r="B5" s="7" t="s">
        <v>110</v>
      </c>
      <c r="C5" s="11"/>
      <c r="D5" s="27"/>
      <c r="E5" s="27"/>
      <c r="F5" s="27">
        <f>35.4*1.18</f>
        <v>41.771999999999998</v>
      </c>
      <c r="G5" s="10">
        <f t="shared" ref="G5:G13" si="0">F5/$F$2/10*1000</f>
        <v>2.9993968463681533</v>
      </c>
      <c r="J5" s="17"/>
    </row>
    <row r="6" spans="1:12" ht="45.75" customHeight="1" x14ac:dyDescent="0.25">
      <c r="A6" s="35" t="s">
        <v>5</v>
      </c>
      <c r="B6" s="7" t="s">
        <v>98</v>
      </c>
      <c r="C6" s="11" t="s">
        <v>4</v>
      </c>
      <c r="D6" s="27">
        <f>I6*$F$2*10/1000</f>
        <v>37.880896</v>
      </c>
      <c r="E6" s="27"/>
      <c r="F6" s="27">
        <f>$F$14/$D$14*D6</f>
        <v>67.096953618768325</v>
      </c>
      <c r="G6" s="10">
        <f t="shared" si="0"/>
        <v>4.81782991202346</v>
      </c>
      <c r="I6" s="3">
        <v>2.72</v>
      </c>
      <c r="J6" s="17"/>
    </row>
    <row r="7" spans="1:12" ht="40.5" customHeight="1" x14ac:dyDescent="0.25">
      <c r="A7" s="6"/>
      <c r="B7" s="9" t="s">
        <v>28</v>
      </c>
      <c r="C7" s="5" t="s">
        <v>4</v>
      </c>
      <c r="D7" s="4">
        <v>2.8</v>
      </c>
      <c r="E7" s="4">
        <v>2.8</v>
      </c>
      <c r="F7" s="4">
        <v>2.8</v>
      </c>
      <c r="G7" s="10">
        <f t="shared" si="0"/>
        <v>0.20105121061550391</v>
      </c>
      <c r="J7" s="17">
        <f t="shared" ref="J7:J13" si="1">I7*$F$2*12/1000</f>
        <v>0</v>
      </c>
    </row>
    <row r="8" spans="1:12" ht="42.75" customHeight="1" x14ac:dyDescent="0.25">
      <c r="A8" s="6"/>
      <c r="B8" s="9" t="s">
        <v>27</v>
      </c>
      <c r="C8" s="5" t="s">
        <v>4</v>
      </c>
      <c r="D8" s="4">
        <v>1.5</v>
      </c>
      <c r="E8" s="4">
        <v>1.5</v>
      </c>
      <c r="F8" s="4">
        <v>1.5</v>
      </c>
      <c r="G8" s="10">
        <f t="shared" si="0"/>
        <v>0.10770600568687709</v>
      </c>
      <c r="I8" s="3">
        <v>0.2</v>
      </c>
      <c r="J8" s="17">
        <f t="shared" si="1"/>
        <v>3.3424319999999996</v>
      </c>
    </row>
    <row r="9" spans="1:12" ht="25.5" x14ac:dyDescent="0.25">
      <c r="A9" s="6"/>
      <c r="B9" s="9" t="s">
        <v>8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0.48826722578050952</v>
      </c>
      <c r="J9" s="17">
        <f t="shared" si="1"/>
        <v>0</v>
      </c>
    </row>
    <row r="10" spans="1:12" ht="31.5" customHeight="1" x14ac:dyDescent="0.25">
      <c r="A10" s="6"/>
      <c r="B10" s="9" t="s">
        <v>114</v>
      </c>
      <c r="C10" s="5" t="s">
        <v>4</v>
      </c>
      <c r="D10" s="4">
        <v>2.5</v>
      </c>
      <c r="E10" s="4">
        <v>2.5</v>
      </c>
      <c r="F10" s="4">
        <v>2.5</v>
      </c>
      <c r="G10" s="10">
        <f t="shared" si="0"/>
        <v>0.17951000947812851</v>
      </c>
      <c r="J10" s="17">
        <f t="shared" si="1"/>
        <v>0</v>
      </c>
    </row>
    <row r="11" spans="1:12" ht="25.5" x14ac:dyDescent="0.25">
      <c r="A11" s="6" t="s">
        <v>5</v>
      </c>
      <c r="B11" s="7" t="s">
        <v>31</v>
      </c>
      <c r="C11" s="11" t="s">
        <v>4</v>
      </c>
      <c r="D11" s="13">
        <f>I11*F2*10/1000-7.2</f>
        <v>79.703232</v>
      </c>
      <c r="E11" s="13">
        <v>91.4</v>
      </c>
      <c r="F11" s="27">
        <f>$F$14/$D$14*D11-7.2</f>
        <v>133.97522618181819</v>
      </c>
      <c r="G11" s="10">
        <f t="shared" si="0"/>
        <v>9.6199576486930365</v>
      </c>
      <c r="I11" s="3">
        <v>6.24</v>
      </c>
      <c r="J11" s="17">
        <f t="shared" si="1"/>
        <v>104.28387840000002</v>
      </c>
    </row>
    <row r="12" spans="1:12" x14ac:dyDescent="0.25">
      <c r="A12" s="6"/>
      <c r="B12" s="4" t="s">
        <v>9</v>
      </c>
      <c r="C12" s="5" t="s">
        <v>4</v>
      </c>
      <c r="D12" s="4">
        <v>4.7</v>
      </c>
      <c r="E12" s="4">
        <v>4.7</v>
      </c>
      <c r="F12" s="4">
        <v>4.7</v>
      </c>
      <c r="G12" s="10">
        <f t="shared" si="0"/>
        <v>0.33747881781888156</v>
      </c>
      <c r="J12" s="17">
        <f t="shared" si="1"/>
        <v>0</v>
      </c>
    </row>
    <row r="13" spans="1:12" x14ac:dyDescent="0.25">
      <c r="A13" s="6" t="s">
        <v>6</v>
      </c>
      <c r="B13" s="7" t="s">
        <v>10</v>
      </c>
      <c r="C13" s="11" t="s">
        <v>4</v>
      </c>
      <c r="D13" s="13">
        <f>I13*F2*10/1000</f>
        <v>33.424320000000002</v>
      </c>
      <c r="E13" s="6">
        <v>37.9</v>
      </c>
      <c r="F13" s="27">
        <f>$F$14/$D$14*D13</f>
        <v>59.203194369501468</v>
      </c>
      <c r="G13" s="10">
        <f t="shared" si="0"/>
        <v>4.2510263929618768</v>
      </c>
      <c r="I13" s="3">
        <v>2.4</v>
      </c>
      <c r="J13" s="17">
        <f t="shared" si="1"/>
        <v>40.109183999999999</v>
      </c>
    </row>
    <row r="14" spans="1:12" x14ac:dyDescent="0.25">
      <c r="A14" s="14"/>
      <c r="B14" s="14" t="s">
        <v>13</v>
      </c>
      <c r="C14" s="15" t="s">
        <v>4</v>
      </c>
      <c r="D14" s="16">
        <v>170.5</v>
      </c>
      <c r="E14" s="16">
        <f t="shared" ref="E14" si="2">SUM(E4:E13)</f>
        <v>212.6</v>
      </c>
      <c r="F14" s="16">
        <v>302</v>
      </c>
      <c r="G14" s="37">
        <f>G13+G11+G6+G4</f>
        <v>21.688210800046527</v>
      </c>
      <c r="I14" s="3">
        <f>SUM(I4:I13)</f>
        <v>12.96</v>
      </c>
      <c r="J14" s="18">
        <f>SUM(J4:J13)</f>
        <v>171.13251840000001</v>
      </c>
      <c r="K14" s="18">
        <f>D13+D11+D6+D4</f>
        <v>170.50596800000002</v>
      </c>
      <c r="L14" s="18">
        <f>F13+F11+F6+F4</f>
        <v>302.04737417008795</v>
      </c>
    </row>
    <row r="15" spans="1:12" ht="19.5" customHeight="1" x14ac:dyDescent="0.25">
      <c r="A15" s="4"/>
      <c r="B15" s="9" t="s">
        <v>12</v>
      </c>
      <c r="C15" s="5" t="s">
        <v>23</v>
      </c>
      <c r="D15" s="10">
        <f>D14/$F$2*1000/10</f>
        <v>12.242582646408362</v>
      </c>
      <c r="E15" s="10">
        <f t="shared" ref="E15:F15" si="3">E14/$F$2*1000/10</f>
        <v>15.265531206020047</v>
      </c>
      <c r="F15" s="10">
        <f t="shared" si="3"/>
        <v>21.684809144957921</v>
      </c>
      <c r="G15" s="10"/>
      <c r="J15" s="18"/>
    </row>
    <row r="16" spans="1:12" ht="18.75" customHeight="1" x14ac:dyDescent="0.25">
      <c r="A16" s="4"/>
      <c r="B16" s="9" t="s">
        <v>24</v>
      </c>
      <c r="C16" s="5" t="s">
        <v>23</v>
      </c>
      <c r="D16" s="8">
        <f>F2*I16/1000*10</f>
        <v>45.958440000000003</v>
      </c>
      <c r="E16" s="8">
        <v>49.8</v>
      </c>
      <c r="F16" s="27">
        <f>D16</f>
        <v>45.958440000000003</v>
      </c>
      <c r="G16" s="10">
        <f>F16/$F$2/10*1000</f>
        <v>3.3</v>
      </c>
      <c r="I16" s="3">
        <v>3.3</v>
      </c>
      <c r="J16" s="18">
        <f>I16*F2/1000*12</f>
        <v>55.150128000000009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216.45844</v>
      </c>
      <c r="E17" s="8">
        <f t="shared" ref="E17:F17" si="4">E16+E14</f>
        <v>262.39999999999998</v>
      </c>
      <c r="F17" s="8">
        <f t="shared" si="4"/>
        <v>347.95844</v>
      </c>
      <c r="G17" s="10">
        <f t="shared" ref="G17" si="5">G16+G14</f>
        <v>24.988210800046527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12.96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44">
        <v>12.96</v>
      </c>
      <c r="E33" s="45"/>
      <c r="F33" s="46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216.45844</v>
      </c>
    </row>
    <row r="38" spans="1:6" s="29" customFormat="1" x14ac:dyDescent="0.25">
      <c r="B38" s="29" t="s">
        <v>75</v>
      </c>
      <c r="C38" s="32">
        <v>194.7</v>
      </c>
    </row>
    <row r="39" spans="1:6" s="29" customFormat="1" x14ac:dyDescent="0.25">
      <c r="B39" s="29" t="s">
        <v>76</v>
      </c>
      <c r="C39" s="32">
        <f>F17</f>
        <v>347.95844</v>
      </c>
    </row>
    <row r="40" spans="1:6" ht="25.5" x14ac:dyDescent="0.25">
      <c r="B40" s="41" t="s">
        <v>113</v>
      </c>
      <c r="C40" s="32">
        <f>C37-C39</f>
        <v>-131.5</v>
      </c>
    </row>
    <row r="41" spans="1:6" x14ac:dyDescent="0.25">
      <c r="B41" s="33" t="s">
        <v>109</v>
      </c>
      <c r="C41" s="34">
        <v>368.6</v>
      </c>
    </row>
  </sheetData>
  <mergeCells count="20">
    <mergeCell ref="D26:F26"/>
    <mergeCell ref="D27:F27"/>
    <mergeCell ref="B21:F21"/>
    <mergeCell ref="D22:F22"/>
    <mergeCell ref="D23:F23"/>
    <mergeCell ref="B24:F24"/>
    <mergeCell ref="D25:F25"/>
    <mergeCell ref="A2:B2"/>
    <mergeCell ref="A1:G1"/>
    <mergeCell ref="B18:F18"/>
    <mergeCell ref="D19:F19"/>
    <mergeCell ref="D20:F20"/>
    <mergeCell ref="D33:F33"/>
    <mergeCell ref="B34:F34"/>
    <mergeCell ref="D35:F35"/>
    <mergeCell ref="B28:F28"/>
    <mergeCell ref="D29:F29"/>
    <mergeCell ref="D30:F30"/>
    <mergeCell ref="B31:F31"/>
    <mergeCell ref="D32:F32"/>
  </mergeCells>
  <pageMargins left="0.9055118110236221" right="0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1"/>
  <sheetViews>
    <sheetView topLeftCell="A2" workbookViewId="0">
      <selection activeCell="P19" sqref="P19"/>
    </sheetView>
  </sheetViews>
  <sheetFormatPr defaultRowHeight="12.75" x14ac:dyDescent="0.25"/>
  <cols>
    <col min="1" max="1" width="5.42578125" style="3" customWidth="1"/>
    <col min="2" max="2" width="44.1406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5" style="3" customWidth="1"/>
    <col min="8" max="11" width="9.140625" style="3" hidden="1" customWidth="1"/>
    <col min="12" max="16384" width="9.140625" style="3"/>
  </cols>
  <sheetData>
    <row r="1" spans="1:13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3" ht="17.25" customHeight="1" x14ac:dyDescent="0.25">
      <c r="A2" s="54" t="s">
        <v>39</v>
      </c>
      <c r="B2" s="54"/>
      <c r="F2" s="1">
        <v>1356.28</v>
      </c>
    </row>
    <row r="3" spans="1:13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3" ht="45.75" customHeight="1" x14ac:dyDescent="0.25">
      <c r="A4" s="35" t="s">
        <v>3</v>
      </c>
      <c r="B4" s="7" t="s">
        <v>97</v>
      </c>
      <c r="C4" s="11" t="s">
        <v>4</v>
      </c>
      <c r="D4" s="13">
        <f>H4*$F$2*10/1000+4.9</f>
        <v>23.887920000000001</v>
      </c>
      <c r="E4" s="13">
        <f>42.9+22.1</f>
        <v>65</v>
      </c>
      <c r="F4" s="13">
        <f>$F$14/$D$14*D4</f>
        <v>38.046744027303752</v>
      </c>
      <c r="G4" s="10">
        <f>F4/$F$2/10*1000</f>
        <v>2.8052278310749807</v>
      </c>
      <c r="H4" s="3">
        <v>1.4</v>
      </c>
      <c r="I4" s="17">
        <f>H4*$F$2*12/1000</f>
        <v>22.785504</v>
      </c>
    </row>
    <row r="5" spans="1:13" x14ac:dyDescent="0.25">
      <c r="A5" s="42"/>
      <c r="B5" s="7" t="s">
        <v>110</v>
      </c>
      <c r="C5" s="11" t="s">
        <v>4</v>
      </c>
      <c r="D5" s="27"/>
      <c r="E5" s="27"/>
      <c r="F5" s="27">
        <f>20.5*1.18</f>
        <v>24.189999999999998</v>
      </c>
      <c r="G5" s="10">
        <f t="shared" ref="G5:G13" si="0">F5/$F$2/10*1000</f>
        <v>1.7835550181378477</v>
      </c>
      <c r="I5" s="17"/>
    </row>
    <row r="6" spans="1:13" ht="42" customHeight="1" x14ac:dyDescent="0.25">
      <c r="A6" s="35" t="s">
        <v>5</v>
      </c>
      <c r="B6" s="7" t="s">
        <v>98</v>
      </c>
      <c r="C6" s="11" t="s">
        <v>4</v>
      </c>
      <c r="D6" s="27">
        <f>H6*$F$2*10/1000+10</f>
        <v>46.890816000000001</v>
      </c>
      <c r="E6" s="27"/>
      <c r="F6" s="27">
        <f>$F$14/$D$14*D6</f>
        <v>74.683893515358349</v>
      </c>
      <c r="G6" s="10">
        <f t="shared" si="0"/>
        <v>5.5065247231661862</v>
      </c>
      <c r="H6" s="3">
        <v>2.72</v>
      </c>
      <c r="I6" s="17">
        <f>H6*$F$2*12/1000</f>
        <v>44.268979200000004</v>
      </c>
    </row>
    <row r="7" spans="1:13" ht="40.5" customHeight="1" x14ac:dyDescent="0.25">
      <c r="A7" s="6"/>
      <c r="B7" s="9" t="s">
        <v>28</v>
      </c>
      <c r="C7" s="5" t="s">
        <v>4</v>
      </c>
      <c r="D7" s="4">
        <v>1.6</v>
      </c>
      <c r="E7" s="4">
        <v>1.6</v>
      </c>
      <c r="F7" s="4">
        <v>1.6</v>
      </c>
      <c r="G7" s="10">
        <f t="shared" si="0"/>
        <v>0.1179697407614947</v>
      </c>
      <c r="I7" s="17">
        <f t="shared" ref="I7:I13" si="1">H7*$F$2*12/1000</f>
        <v>0</v>
      </c>
    </row>
    <row r="8" spans="1:13" ht="42.75" customHeight="1" x14ac:dyDescent="0.25">
      <c r="A8" s="6"/>
      <c r="B8" s="9" t="s">
        <v>27</v>
      </c>
      <c r="C8" s="5" t="s">
        <v>4</v>
      </c>
      <c r="D8" s="4">
        <v>3.1</v>
      </c>
      <c r="E8" s="4">
        <v>3.1</v>
      </c>
      <c r="F8" s="4">
        <v>3.1</v>
      </c>
      <c r="G8" s="10">
        <f t="shared" si="0"/>
        <v>0.22856637272539596</v>
      </c>
      <c r="H8" s="3">
        <v>0.2</v>
      </c>
      <c r="I8" s="17">
        <f t="shared" si="1"/>
        <v>3.2550720000000002</v>
      </c>
    </row>
    <row r="9" spans="1:13" ht="38.25" x14ac:dyDescent="0.25">
      <c r="A9" s="6"/>
      <c r="B9" s="9" t="s">
        <v>115</v>
      </c>
      <c r="C9" s="5" t="s">
        <v>4</v>
      </c>
      <c r="D9" s="4">
        <v>6.8</v>
      </c>
      <c r="E9" s="4">
        <v>6.8</v>
      </c>
      <c r="F9" s="4">
        <v>6.8</v>
      </c>
      <c r="G9" s="10">
        <f t="shared" si="0"/>
        <v>0.50137139823635235</v>
      </c>
      <c r="I9" s="17">
        <f t="shared" si="1"/>
        <v>0</v>
      </c>
    </row>
    <row r="10" spans="1:13" ht="31.5" customHeight="1" x14ac:dyDescent="0.25">
      <c r="A10" s="6"/>
      <c r="B10" s="9" t="s">
        <v>114</v>
      </c>
      <c r="C10" s="5" t="s">
        <v>4</v>
      </c>
      <c r="D10" s="4">
        <v>2.2999999999999998</v>
      </c>
      <c r="E10" s="4">
        <v>2.2999999999999998</v>
      </c>
      <c r="F10" s="4">
        <v>2.2999999999999998</v>
      </c>
      <c r="G10" s="10">
        <f t="shared" si="0"/>
        <v>0.16958150234464861</v>
      </c>
      <c r="I10" s="17">
        <f t="shared" si="1"/>
        <v>0</v>
      </c>
    </row>
    <row r="11" spans="1:13" ht="25.5" x14ac:dyDescent="0.25">
      <c r="A11" s="6" t="s">
        <v>5</v>
      </c>
      <c r="B11" s="7" t="s">
        <v>31</v>
      </c>
      <c r="C11" s="11" t="s">
        <v>4</v>
      </c>
      <c r="D11" s="27">
        <f>H11*$F$2*10/1000</f>
        <v>72.425352000000004</v>
      </c>
      <c r="E11" s="13">
        <v>91.4</v>
      </c>
      <c r="F11" s="27">
        <f>$F$14/$D$14*D11</f>
        <v>115.35323412969282</v>
      </c>
      <c r="G11" s="10">
        <f t="shared" si="0"/>
        <v>8.5051194539249142</v>
      </c>
      <c r="H11" s="3">
        <v>5.34</v>
      </c>
      <c r="I11" s="17">
        <f t="shared" si="1"/>
        <v>86.910422400000002</v>
      </c>
      <c r="K11" s="24">
        <v>5.34</v>
      </c>
    </row>
    <row r="12" spans="1:13" x14ac:dyDescent="0.25">
      <c r="A12" s="6"/>
      <c r="B12" s="4" t="s">
        <v>9</v>
      </c>
      <c r="C12" s="5" t="s">
        <v>4</v>
      </c>
      <c r="D12" s="4">
        <v>4.7</v>
      </c>
      <c r="E12" s="4">
        <v>4.7</v>
      </c>
      <c r="F12" s="4">
        <v>4.7</v>
      </c>
      <c r="G12" s="10">
        <f t="shared" si="0"/>
        <v>0.34653611348689062</v>
      </c>
      <c r="I12" s="17">
        <f t="shared" si="1"/>
        <v>0</v>
      </c>
    </row>
    <row r="13" spans="1:13" x14ac:dyDescent="0.25">
      <c r="A13" s="6" t="s">
        <v>6</v>
      </c>
      <c r="B13" s="7" t="s">
        <v>10</v>
      </c>
      <c r="C13" s="11" t="s">
        <v>4</v>
      </c>
      <c r="D13" s="13">
        <f>H13*F2*10/1000</f>
        <v>32.550719999999998</v>
      </c>
      <c r="E13" s="6">
        <v>37.9</v>
      </c>
      <c r="F13" s="27">
        <f>$F$14/$D$14*D13</f>
        <v>51.844150170648454</v>
      </c>
      <c r="G13" s="10">
        <f t="shared" si="0"/>
        <v>3.8225255972696242</v>
      </c>
      <c r="H13" s="3">
        <v>2.4</v>
      </c>
      <c r="I13" s="17">
        <f t="shared" si="1"/>
        <v>39.060863999999995</v>
      </c>
    </row>
    <row r="14" spans="1:13" x14ac:dyDescent="0.25">
      <c r="A14" s="14"/>
      <c r="B14" s="14" t="s">
        <v>13</v>
      </c>
      <c r="C14" s="15" t="s">
        <v>4</v>
      </c>
      <c r="D14" s="16">
        <v>175.8</v>
      </c>
      <c r="E14" s="16">
        <f>SUM(E4:E13)</f>
        <v>212.79999999999998</v>
      </c>
      <c r="F14" s="16">
        <v>280</v>
      </c>
      <c r="G14" s="37">
        <f>G13+G11+G6+G4</f>
        <v>20.639397605435704</v>
      </c>
      <c r="H14" s="3">
        <f>SUM(H4:H13)</f>
        <v>12.06</v>
      </c>
      <c r="I14" s="18">
        <f>SUM(I4:I13)</f>
        <v>196.28084159999997</v>
      </c>
      <c r="M14" s="18">
        <f>D13+D11+D6+D4</f>
        <v>175.75480800000003</v>
      </c>
    </row>
    <row r="15" spans="1:13" ht="19.5" customHeight="1" x14ac:dyDescent="0.25">
      <c r="A15" s="4"/>
      <c r="B15" s="9" t="s">
        <v>12</v>
      </c>
      <c r="C15" s="5" t="s">
        <v>23</v>
      </c>
      <c r="D15" s="10">
        <f>D14/$F$2*1000/10</f>
        <v>12.961925266169228</v>
      </c>
      <c r="E15" s="10">
        <f t="shared" ref="E15:F15" si="2">E14/$F$2*1000/10</f>
        <v>15.689975521278791</v>
      </c>
      <c r="F15" s="10">
        <f t="shared" si="2"/>
        <v>20.644704633261568</v>
      </c>
      <c r="G15" s="10"/>
      <c r="I15" s="18"/>
    </row>
    <row r="16" spans="1:13" ht="18.75" customHeight="1" x14ac:dyDescent="0.25">
      <c r="A16" s="4"/>
      <c r="B16" s="9" t="s">
        <v>24</v>
      </c>
      <c r="C16" s="5" t="s">
        <v>23</v>
      </c>
      <c r="D16" s="8">
        <f>F2*H16/1000*10</f>
        <v>44.757239999999996</v>
      </c>
      <c r="E16" s="8">
        <v>49.8</v>
      </c>
      <c r="F16" s="27">
        <f>D16</f>
        <v>44.757239999999996</v>
      </c>
      <c r="G16" s="10">
        <f>F16/$F$2/10*1000</f>
        <v>3.2999999999999994</v>
      </c>
      <c r="H16" s="3">
        <v>3.3</v>
      </c>
      <c r="I16" s="18">
        <f>H16*F2/1000*12</f>
        <v>53.708687999999995</v>
      </c>
    </row>
    <row r="17" spans="1:10" x14ac:dyDescent="0.25">
      <c r="A17" s="4"/>
      <c r="B17" s="4" t="s">
        <v>14</v>
      </c>
      <c r="C17" s="5" t="s">
        <v>4</v>
      </c>
      <c r="D17" s="8">
        <f>D16+D14</f>
        <v>220.55724000000001</v>
      </c>
      <c r="E17" s="8">
        <f t="shared" ref="E17:G17" si="3">E16+E14</f>
        <v>262.59999999999997</v>
      </c>
      <c r="F17" s="8">
        <f t="shared" si="3"/>
        <v>324.75724000000002</v>
      </c>
      <c r="G17" s="10">
        <f t="shared" si="3"/>
        <v>23.939397605435705</v>
      </c>
    </row>
    <row r="18" spans="1:10" ht="25.5" customHeight="1" x14ac:dyDescent="0.25">
      <c r="A18" s="4"/>
      <c r="B18" s="47" t="s">
        <v>32</v>
      </c>
      <c r="C18" s="48"/>
      <c r="D18" s="48"/>
      <c r="E18" s="48"/>
      <c r="F18" s="49"/>
    </row>
    <row r="19" spans="1:10" x14ac:dyDescent="0.25">
      <c r="A19" s="4"/>
      <c r="B19" s="4" t="s">
        <v>104</v>
      </c>
      <c r="C19" s="5" t="s">
        <v>15</v>
      </c>
      <c r="D19" s="44">
        <v>17.03</v>
      </c>
      <c r="E19" s="45"/>
      <c r="F19" s="46"/>
      <c r="J19" s="28"/>
    </row>
    <row r="20" spans="1:10" x14ac:dyDescent="0.25">
      <c r="A20" s="4"/>
      <c r="B20" s="4" t="s">
        <v>105</v>
      </c>
      <c r="C20" s="5" t="s">
        <v>15</v>
      </c>
      <c r="D20" s="44">
        <v>17.59</v>
      </c>
      <c r="E20" s="45"/>
      <c r="F20" s="46"/>
    </row>
    <row r="21" spans="1:10" ht="14.25" x14ac:dyDescent="0.25">
      <c r="A21" s="4"/>
      <c r="B21" s="47" t="s">
        <v>16</v>
      </c>
      <c r="C21" s="48"/>
      <c r="D21" s="48"/>
      <c r="E21" s="48"/>
      <c r="F21" s="49"/>
    </row>
    <row r="22" spans="1:10" x14ac:dyDescent="0.25">
      <c r="A22" s="4"/>
      <c r="B22" s="4" t="s">
        <v>104</v>
      </c>
      <c r="C22" s="5" t="s">
        <v>15</v>
      </c>
      <c r="D22" s="44">
        <v>21.65</v>
      </c>
      <c r="E22" s="45"/>
      <c r="F22" s="46"/>
    </row>
    <row r="23" spans="1:10" x14ac:dyDescent="0.25">
      <c r="A23" s="4"/>
      <c r="B23" s="4" t="s">
        <v>105</v>
      </c>
      <c r="C23" s="5" t="s">
        <v>15</v>
      </c>
      <c r="D23" s="44">
        <v>22.37</v>
      </c>
      <c r="E23" s="45"/>
      <c r="F23" s="46"/>
    </row>
    <row r="24" spans="1:10" ht="14.25" x14ac:dyDescent="0.25">
      <c r="A24" s="4"/>
      <c r="B24" s="47" t="s">
        <v>17</v>
      </c>
      <c r="C24" s="48"/>
      <c r="D24" s="48"/>
      <c r="E24" s="48"/>
      <c r="F24" s="49"/>
    </row>
    <row r="25" spans="1:10" x14ac:dyDescent="0.25">
      <c r="A25" s="4"/>
      <c r="B25" s="4" t="s">
        <v>104</v>
      </c>
      <c r="C25" s="5" t="s">
        <v>15</v>
      </c>
      <c r="D25" s="44">
        <v>106.36</v>
      </c>
      <c r="E25" s="45"/>
      <c r="F25" s="46"/>
    </row>
    <row r="26" spans="1:10" x14ac:dyDescent="0.25">
      <c r="A26" s="4"/>
      <c r="B26" s="4" t="s">
        <v>106</v>
      </c>
      <c r="C26" s="5" t="s">
        <v>15</v>
      </c>
      <c r="D26" s="44">
        <v>16.77</v>
      </c>
      <c r="E26" s="45"/>
      <c r="F26" s="46"/>
    </row>
    <row r="27" spans="1:10" x14ac:dyDescent="0.25">
      <c r="A27" s="4"/>
      <c r="B27" s="38" t="s">
        <v>107</v>
      </c>
      <c r="C27" s="5" t="s">
        <v>108</v>
      </c>
      <c r="D27" s="44">
        <v>1410.61</v>
      </c>
      <c r="E27" s="45"/>
      <c r="F27" s="46"/>
    </row>
    <row r="28" spans="1:10" ht="14.25" x14ac:dyDescent="0.25">
      <c r="A28" s="4"/>
      <c r="B28" s="47" t="s">
        <v>18</v>
      </c>
      <c r="C28" s="48"/>
      <c r="D28" s="48"/>
      <c r="E28" s="48"/>
      <c r="F28" s="49"/>
    </row>
    <row r="29" spans="1:10" x14ac:dyDescent="0.25">
      <c r="A29" s="4"/>
      <c r="B29" s="4" t="s">
        <v>104</v>
      </c>
      <c r="C29" s="5" t="s">
        <v>22</v>
      </c>
      <c r="D29" s="52">
        <f>1296.94*1.18</f>
        <v>1530.3892000000001</v>
      </c>
      <c r="E29" s="50"/>
      <c r="F29" s="51"/>
    </row>
    <row r="30" spans="1:10" x14ac:dyDescent="0.25">
      <c r="A30" s="4"/>
      <c r="B30" s="4" t="s">
        <v>105</v>
      </c>
      <c r="C30" s="5" t="s">
        <v>22</v>
      </c>
      <c r="D30" s="52">
        <v>1580.89</v>
      </c>
      <c r="E30" s="50"/>
      <c r="F30" s="51"/>
    </row>
    <row r="31" spans="1:10" ht="18" customHeight="1" x14ac:dyDescent="0.25">
      <c r="A31" s="4"/>
      <c r="B31" s="47" t="s">
        <v>19</v>
      </c>
      <c r="C31" s="48"/>
      <c r="D31" s="48"/>
      <c r="E31" s="48"/>
      <c r="F31" s="49"/>
    </row>
    <row r="32" spans="1:10" ht="18" customHeight="1" x14ac:dyDescent="0.25">
      <c r="A32" s="4"/>
      <c r="B32" s="4" t="s">
        <v>20</v>
      </c>
      <c r="C32" s="5" t="s">
        <v>23</v>
      </c>
      <c r="D32" s="44">
        <v>12.06</v>
      </c>
      <c r="E32" s="45"/>
      <c r="F32" s="46"/>
    </row>
    <row r="33" spans="1:6" ht="18" customHeight="1" x14ac:dyDescent="0.25">
      <c r="A33" s="4"/>
      <c r="B33" s="4" t="s">
        <v>105</v>
      </c>
      <c r="C33" s="5" t="s">
        <v>23</v>
      </c>
      <c r="D33" s="44">
        <v>13.87</v>
      </c>
      <c r="E33" s="45"/>
      <c r="F33" s="46"/>
    </row>
    <row r="34" spans="1:6" ht="18" customHeight="1" x14ac:dyDescent="0.25">
      <c r="A34" s="4"/>
      <c r="B34" s="47" t="s">
        <v>24</v>
      </c>
      <c r="C34" s="48"/>
      <c r="D34" s="48"/>
      <c r="E34" s="48"/>
      <c r="F34" s="49"/>
    </row>
    <row r="35" spans="1:6" ht="18" customHeight="1" x14ac:dyDescent="0.25">
      <c r="A35" s="4"/>
      <c r="B35" s="4" t="s">
        <v>29</v>
      </c>
      <c r="C35" s="5" t="s">
        <v>23</v>
      </c>
      <c r="D35" s="52">
        <v>3.3</v>
      </c>
      <c r="E35" s="50"/>
      <c r="F35" s="51"/>
    </row>
    <row r="37" spans="1:6" s="29" customFormat="1" x14ac:dyDescent="0.25">
      <c r="B37" s="29" t="s">
        <v>74</v>
      </c>
      <c r="C37" s="32">
        <f>D17</f>
        <v>220.55724000000001</v>
      </c>
    </row>
    <row r="38" spans="1:6" s="29" customFormat="1" x14ac:dyDescent="0.25">
      <c r="B38" s="29" t="s">
        <v>75</v>
      </c>
      <c r="C38" s="32">
        <v>194.3</v>
      </c>
    </row>
    <row r="39" spans="1:6" s="29" customFormat="1" x14ac:dyDescent="0.25">
      <c r="B39" s="29" t="s">
        <v>76</v>
      </c>
      <c r="C39" s="32">
        <f>F17</f>
        <v>324.75724000000002</v>
      </c>
    </row>
    <row r="40" spans="1:6" ht="25.5" x14ac:dyDescent="0.25">
      <c r="B40" s="30" t="s">
        <v>77</v>
      </c>
      <c r="C40" s="32">
        <f>C37-C39</f>
        <v>-104.20000000000002</v>
      </c>
    </row>
    <row r="41" spans="1:6" x14ac:dyDescent="0.25">
      <c r="B41" s="33" t="s">
        <v>109</v>
      </c>
      <c r="C41" s="34">
        <f>251.2-9.3</f>
        <v>241.89999999999998</v>
      </c>
    </row>
  </sheetData>
  <mergeCells count="20">
    <mergeCell ref="A2:B2"/>
    <mergeCell ref="A1:G1"/>
    <mergeCell ref="B18:F18"/>
    <mergeCell ref="D19:F19"/>
    <mergeCell ref="D20:F20"/>
    <mergeCell ref="B21:F21"/>
    <mergeCell ref="D22:F22"/>
    <mergeCell ref="D23:F23"/>
    <mergeCell ref="B24:F24"/>
    <mergeCell ref="D25:F25"/>
    <mergeCell ref="D26:F26"/>
    <mergeCell ref="D27:F27"/>
    <mergeCell ref="B28:F28"/>
    <mergeCell ref="D29:F29"/>
    <mergeCell ref="D30:F30"/>
    <mergeCell ref="B31:F31"/>
    <mergeCell ref="D32:F32"/>
    <mergeCell ref="D33:F33"/>
    <mergeCell ref="B34:F34"/>
    <mergeCell ref="D35:F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2"/>
  <sheetViews>
    <sheetView workbookViewId="0">
      <selection activeCell="M21" sqref="M21"/>
    </sheetView>
  </sheetViews>
  <sheetFormatPr defaultRowHeight="12.75" x14ac:dyDescent="0.25"/>
  <cols>
    <col min="1" max="1" width="5.42578125" style="3" customWidth="1"/>
    <col min="2" max="2" width="46.5703125" style="3" customWidth="1"/>
    <col min="3" max="3" width="12" style="2" customWidth="1"/>
    <col min="4" max="4" width="12.85546875" style="3" customWidth="1"/>
    <col min="5" max="5" width="12.5703125" style="3" hidden="1" customWidth="1"/>
    <col min="6" max="6" width="13" style="3" customWidth="1"/>
    <col min="7" max="7" width="13.85546875" style="3" customWidth="1"/>
    <col min="8" max="8" width="10" style="3" hidden="1" customWidth="1"/>
    <col min="9" max="10" width="9.140625" style="3" hidden="1" customWidth="1"/>
    <col min="11" max="16384" width="9.140625" style="3"/>
  </cols>
  <sheetData>
    <row r="1" spans="1:14" s="1" customFormat="1" ht="29.25" customHeight="1" x14ac:dyDescent="0.25">
      <c r="A1" s="53" t="s">
        <v>111</v>
      </c>
      <c r="B1" s="53"/>
      <c r="C1" s="53"/>
      <c r="D1" s="53"/>
      <c r="E1" s="53"/>
      <c r="F1" s="53"/>
      <c r="G1" s="53"/>
    </row>
    <row r="2" spans="1:14" ht="17.25" customHeight="1" x14ac:dyDescent="0.25">
      <c r="A2" s="54" t="s">
        <v>101</v>
      </c>
      <c r="B2" s="54"/>
      <c r="F2" s="26">
        <v>1361.49</v>
      </c>
    </row>
    <row r="3" spans="1:14" ht="25.5" x14ac:dyDescent="0.25">
      <c r="A3" s="4" t="s">
        <v>0</v>
      </c>
      <c r="B3" s="4" t="s">
        <v>1</v>
      </c>
      <c r="C3" s="5" t="s">
        <v>2</v>
      </c>
      <c r="D3" s="6" t="s">
        <v>25</v>
      </c>
      <c r="E3" s="4" t="s">
        <v>11</v>
      </c>
      <c r="F3" s="6" t="s">
        <v>26</v>
      </c>
      <c r="G3" s="11" t="s">
        <v>103</v>
      </c>
    </row>
    <row r="4" spans="1:14" ht="41.25" customHeight="1" x14ac:dyDescent="0.25">
      <c r="A4" s="35" t="s">
        <v>3</v>
      </c>
      <c r="B4" s="7" t="s">
        <v>97</v>
      </c>
      <c r="C4" s="11" t="s">
        <v>4</v>
      </c>
      <c r="D4" s="13">
        <f>I4*$F$2*12/1000</f>
        <v>22.873031999999998</v>
      </c>
      <c r="E4" s="13">
        <f>42.9+22.1</f>
        <v>65</v>
      </c>
      <c r="F4" s="13">
        <f>$F$15/$D$15*D4</f>
        <v>36.347193707865166</v>
      </c>
      <c r="G4" s="10">
        <f>F4/$F$2/12*1000</f>
        <v>2.2247191011235952</v>
      </c>
      <c r="H4" s="3">
        <f>D4/$F$2*1000/12</f>
        <v>1.4000000000000001</v>
      </c>
      <c r="I4" s="3">
        <v>1.4</v>
      </c>
      <c r="J4" s="17">
        <f>I4*$F$2*12/1000</f>
        <v>22.873031999999998</v>
      </c>
    </row>
    <row r="5" spans="1:14" ht="16.5" customHeight="1" x14ac:dyDescent="0.25">
      <c r="A5" s="42"/>
      <c r="B5" s="7" t="s">
        <v>110</v>
      </c>
      <c r="C5" s="11" t="s">
        <v>4</v>
      </c>
      <c r="D5" s="27"/>
      <c r="E5" s="27"/>
      <c r="F5" s="27">
        <f>21.3*1.18</f>
        <v>25.134</v>
      </c>
      <c r="G5" s="10">
        <f t="shared" ref="G5:G6" si="0">F5/$F$2/12*1000</f>
        <v>1.5383880895195705</v>
      </c>
      <c r="J5" s="17"/>
    </row>
    <row r="6" spans="1:14" ht="15.75" customHeight="1" x14ac:dyDescent="0.25">
      <c r="A6" s="42"/>
      <c r="B6" s="7" t="s">
        <v>47</v>
      </c>
      <c r="C6" s="11" t="s">
        <v>4</v>
      </c>
      <c r="D6" s="27"/>
      <c r="E6" s="27"/>
      <c r="F6" s="27">
        <v>4.9000000000000004</v>
      </c>
      <c r="G6" s="10">
        <f t="shared" si="0"/>
        <v>0.29991651303596306</v>
      </c>
      <c r="J6" s="17"/>
    </row>
    <row r="7" spans="1:14" ht="43.5" customHeight="1" x14ac:dyDescent="0.25">
      <c r="A7" s="35" t="s">
        <v>5</v>
      </c>
      <c r="B7" s="7" t="s">
        <v>98</v>
      </c>
      <c r="C7" s="11" t="s">
        <v>4</v>
      </c>
      <c r="D7" s="27">
        <f>I7*$F$2*10/1000+2.8</f>
        <v>39.832528000000003</v>
      </c>
      <c r="E7" s="27"/>
      <c r="F7" s="27">
        <f>$F$15/$D$15*D7</f>
        <v>63.297275634028892</v>
      </c>
      <c r="G7" s="10">
        <f t="shared" ref="G7:G14" si="1">F7/$F$2/12*1000</f>
        <v>3.8742649373130962</v>
      </c>
      <c r="I7" s="3">
        <v>2.72</v>
      </c>
      <c r="J7" s="17">
        <f t="shared" ref="J7:J11" si="2">I7*$F$2*12/1000</f>
        <v>44.439033600000002</v>
      </c>
    </row>
    <row r="8" spans="1:14" ht="32.25" customHeight="1" x14ac:dyDescent="0.25">
      <c r="A8" s="6"/>
      <c r="B8" s="9" t="s">
        <v>28</v>
      </c>
      <c r="C8" s="5" t="s">
        <v>4</v>
      </c>
      <c r="D8" s="4">
        <v>2.5</v>
      </c>
      <c r="E8" s="4">
        <v>2.5</v>
      </c>
      <c r="F8" s="4">
        <v>2.5</v>
      </c>
      <c r="G8" s="10">
        <f t="shared" si="1"/>
        <v>0.15301862909998115</v>
      </c>
      <c r="J8" s="17">
        <f t="shared" si="2"/>
        <v>0</v>
      </c>
    </row>
    <row r="9" spans="1:14" ht="27.75" customHeight="1" x14ac:dyDescent="0.25">
      <c r="A9" s="6"/>
      <c r="B9" s="9" t="s">
        <v>27</v>
      </c>
      <c r="C9" s="5" t="s">
        <v>4</v>
      </c>
      <c r="D9" s="4">
        <v>3.3</v>
      </c>
      <c r="E9" s="4">
        <v>3.3</v>
      </c>
      <c r="F9" s="4">
        <v>3.3</v>
      </c>
      <c r="G9" s="10">
        <f t="shared" si="1"/>
        <v>0.20198459041197508</v>
      </c>
      <c r="I9" s="3">
        <v>0.2</v>
      </c>
      <c r="J9" s="17">
        <f t="shared" si="2"/>
        <v>3.267576</v>
      </c>
    </row>
    <row r="10" spans="1:14" ht="25.5" x14ac:dyDescent="0.25">
      <c r="A10" s="6"/>
      <c r="B10" s="9" t="s">
        <v>8</v>
      </c>
      <c r="C10" s="5" t="s">
        <v>4</v>
      </c>
      <c r="D10" s="4">
        <v>6.8</v>
      </c>
      <c r="E10" s="4">
        <v>6.8</v>
      </c>
      <c r="F10" s="4">
        <v>6.8</v>
      </c>
      <c r="G10" s="10">
        <f t="shared" si="1"/>
        <v>0.41621067115194871</v>
      </c>
      <c r="J10" s="17">
        <f t="shared" si="2"/>
        <v>0</v>
      </c>
    </row>
    <row r="11" spans="1:14" ht="31.5" customHeight="1" x14ac:dyDescent="0.25">
      <c r="A11" s="6"/>
      <c r="B11" s="9" t="s">
        <v>114</v>
      </c>
      <c r="C11" s="5" t="s">
        <v>4</v>
      </c>
      <c r="D11" s="4">
        <v>2.5</v>
      </c>
      <c r="E11" s="4">
        <v>2.5</v>
      </c>
      <c r="F11" s="4">
        <v>2.5</v>
      </c>
      <c r="G11" s="10">
        <f t="shared" si="1"/>
        <v>0.15301862909998115</v>
      </c>
      <c r="J11" s="17">
        <f t="shared" si="2"/>
        <v>0</v>
      </c>
    </row>
    <row r="12" spans="1:14" ht="25.5" x14ac:dyDescent="0.25">
      <c r="A12" s="6" t="s">
        <v>5</v>
      </c>
      <c r="B12" s="7" t="s">
        <v>31</v>
      </c>
      <c r="C12" s="11" t="s">
        <v>4</v>
      </c>
      <c r="D12" s="27">
        <f>I12*$F$2*10/1000</f>
        <v>84.956975999999997</v>
      </c>
      <c r="E12" s="13">
        <v>91.4</v>
      </c>
      <c r="F12" s="27">
        <f>$F$15/$D$15*D12</f>
        <v>135.00386234349918</v>
      </c>
      <c r="G12" s="10">
        <f t="shared" si="1"/>
        <v>8.2632423756019246</v>
      </c>
      <c r="I12" s="3">
        <v>6.24</v>
      </c>
      <c r="J12" s="17">
        <f t="shared" ref="J12:J14" si="3">I12*$F$2*12/1000</f>
        <v>101.9483712</v>
      </c>
    </row>
    <row r="13" spans="1:14" x14ac:dyDescent="0.25">
      <c r="A13" s="6"/>
      <c r="B13" s="4" t="s">
        <v>9</v>
      </c>
      <c r="C13" s="5" t="s">
        <v>4</v>
      </c>
      <c r="D13" s="8">
        <v>5</v>
      </c>
      <c r="E13" s="8">
        <v>5</v>
      </c>
      <c r="F13" s="8">
        <v>5</v>
      </c>
      <c r="G13" s="10">
        <f t="shared" si="1"/>
        <v>0.3060372581999623</v>
      </c>
      <c r="J13" s="17"/>
    </row>
    <row r="14" spans="1:14" x14ac:dyDescent="0.25">
      <c r="A14" s="6" t="s">
        <v>6</v>
      </c>
      <c r="B14" s="7" t="s">
        <v>10</v>
      </c>
      <c r="C14" s="11" t="s">
        <v>4</v>
      </c>
      <c r="D14" s="27">
        <f>I14*$F$2*12/1000</f>
        <v>39.210911999999993</v>
      </c>
      <c r="E14" s="6">
        <v>37.9</v>
      </c>
      <c r="F14" s="27">
        <f>$F$15/$D$15*D14</f>
        <v>62.309474927768846</v>
      </c>
      <c r="G14" s="10">
        <f t="shared" si="1"/>
        <v>3.8138041733547343</v>
      </c>
      <c r="I14" s="3">
        <v>2.4</v>
      </c>
      <c r="J14" s="17">
        <f t="shared" si="3"/>
        <v>39.210911999999993</v>
      </c>
    </row>
    <row r="15" spans="1:14" x14ac:dyDescent="0.25">
      <c r="A15" s="14"/>
      <c r="B15" s="14" t="s">
        <v>13</v>
      </c>
      <c r="C15" s="15" t="s">
        <v>4</v>
      </c>
      <c r="D15" s="16">
        <v>186.9</v>
      </c>
      <c r="E15" s="14">
        <f>E14+E12+E4</f>
        <v>194.3</v>
      </c>
      <c r="F15" s="16">
        <v>297</v>
      </c>
      <c r="G15" s="37">
        <f>G14+G12+G7+G4</f>
        <v>18.176030587393349</v>
      </c>
      <c r="I15" s="3">
        <f>SUM(I4:I14)</f>
        <v>12.96</v>
      </c>
      <c r="J15" s="18">
        <f>SUM(J4:J14)</f>
        <v>211.73892480000001</v>
      </c>
      <c r="L15" s="18">
        <f>D14+D12+D7+D4</f>
        <v>186.873448</v>
      </c>
      <c r="M15" s="18">
        <f>F14+F12+F7+F4</f>
        <v>296.95780661316212</v>
      </c>
      <c r="N15" s="18"/>
    </row>
    <row r="16" spans="1:14" ht="19.5" customHeight="1" x14ac:dyDescent="0.25">
      <c r="A16" s="4"/>
      <c r="B16" s="9" t="s">
        <v>12</v>
      </c>
      <c r="C16" s="5" t="s">
        <v>23</v>
      </c>
      <c r="D16" s="10">
        <f>D15/$F$2*1000/10</f>
        <v>13.72760725381751</v>
      </c>
      <c r="E16" s="10">
        <f t="shared" ref="E16:F16" si="4">E15/$F$2*1000/10</f>
        <v>14.271129424380643</v>
      </c>
      <c r="F16" s="10">
        <f t="shared" si="4"/>
        <v>21.814335764493311</v>
      </c>
      <c r="G16" s="10"/>
      <c r="J16" s="18"/>
    </row>
    <row r="17" spans="1:10" ht="18.75" customHeight="1" x14ac:dyDescent="0.25">
      <c r="A17" s="4"/>
      <c r="B17" s="9" t="s">
        <v>24</v>
      </c>
      <c r="C17" s="5" t="s">
        <v>23</v>
      </c>
      <c r="D17" s="8">
        <f>F2*I17/1000*10</f>
        <v>44.929169999999992</v>
      </c>
      <c r="E17" s="8">
        <v>49.8</v>
      </c>
      <c r="F17" s="27">
        <f>D17</f>
        <v>44.929169999999992</v>
      </c>
      <c r="G17" s="10">
        <f>F17/$F$2/10*1000</f>
        <v>3.2999999999999994</v>
      </c>
      <c r="I17" s="3">
        <v>3.3</v>
      </c>
      <c r="J17" s="18">
        <f>I17*F2/1000*12</f>
        <v>53.915003999999996</v>
      </c>
    </row>
    <row r="18" spans="1:10" x14ac:dyDescent="0.25">
      <c r="A18" s="4"/>
      <c r="B18" s="4" t="s">
        <v>14</v>
      </c>
      <c r="C18" s="5" t="s">
        <v>4</v>
      </c>
      <c r="D18" s="8">
        <f>D17+D15</f>
        <v>231.82917</v>
      </c>
      <c r="E18" s="8">
        <f t="shared" ref="E18:J18" si="5">E17+E15</f>
        <v>244.10000000000002</v>
      </c>
      <c r="F18" s="8">
        <f t="shared" si="5"/>
        <v>341.92917</v>
      </c>
      <c r="G18" s="10">
        <f t="shared" si="5"/>
        <v>21.47603058739335</v>
      </c>
      <c r="H18" s="8">
        <f t="shared" si="5"/>
        <v>0</v>
      </c>
      <c r="I18" s="8">
        <f t="shared" si="5"/>
        <v>16.260000000000002</v>
      </c>
      <c r="J18" s="8">
        <f t="shared" si="5"/>
        <v>265.65392880000002</v>
      </c>
    </row>
    <row r="19" spans="1:10" ht="25.5" customHeight="1" x14ac:dyDescent="0.25">
      <c r="A19" s="4"/>
      <c r="B19" s="47" t="s">
        <v>32</v>
      </c>
      <c r="C19" s="48"/>
      <c r="D19" s="48"/>
      <c r="E19" s="48"/>
      <c r="F19" s="49"/>
    </row>
    <row r="20" spans="1:10" x14ac:dyDescent="0.25">
      <c r="A20" s="4"/>
      <c r="B20" s="4" t="s">
        <v>104</v>
      </c>
      <c r="C20" s="5" t="s">
        <v>15</v>
      </c>
      <c r="D20" s="44">
        <v>17.03</v>
      </c>
      <c r="E20" s="45"/>
      <c r="F20" s="46"/>
      <c r="J20" s="28"/>
    </row>
    <row r="21" spans="1:10" x14ac:dyDescent="0.25">
      <c r="A21" s="4"/>
      <c r="B21" s="4" t="s">
        <v>105</v>
      </c>
      <c r="C21" s="5" t="s">
        <v>15</v>
      </c>
      <c r="D21" s="44">
        <v>17.59</v>
      </c>
      <c r="E21" s="45"/>
      <c r="F21" s="46"/>
    </row>
    <row r="22" spans="1:10" ht="14.25" x14ac:dyDescent="0.25">
      <c r="A22" s="4"/>
      <c r="B22" s="47" t="s">
        <v>16</v>
      </c>
      <c r="C22" s="48"/>
      <c r="D22" s="48"/>
      <c r="E22" s="48"/>
      <c r="F22" s="49"/>
    </row>
    <row r="23" spans="1:10" x14ac:dyDescent="0.25">
      <c r="A23" s="4"/>
      <c r="B23" s="4" t="s">
        <v>104</v>
      </c>
      <c r="C23" s="5" t="s">
        <v>15</v>
      </c>
      <c r="D23" s="44">
        <v>21.65</v>
      </c>
      <c r="E23" s="45"/>
      <c r="F23" s="46"/>
    </row>
    <row r="24" spans="1:10" x14ac:dyDescent="0.25">
      <c r="A24" s="4"/>
      <c r="B24" s="4" t="s">
        <v>105</v>
      </c>
      <c r="C24" s="5" t="s">
        <v>15</v>
      </c>
      <c r="D24" s="44">
        <v>22.37</v>
      </c>
      <c r="E24" s="45"/>
      <c r="F24" s="46"/>
    </row>
    <row r="25" spans="1:10" ht="14.25" x14ac:dyDescent="0.25">
      <c r="A25" s="4"/>
      <c r="B25" s="47" t="s">
        <v>17</v>
      </c>
      <c r="C25" s="48"/>
      <c r="D25" s="48"/>
      <c r="E25" s="48"/>
      <c r="F25" s="49"/>
    </row>
    <row r="26" spans="1:10" x14ac:dyDescent="0.25">
      <c r="A26" s="4"/>
      <c r="B26" s="4" t="s">
        <v>104</v>
      </c>
      <c r="C26" s="5" t="s">
        <v>15</v>
      </c>
      <c r="D26" s="44">
        <v>106.36</v>
      </c>
      <c r="E26" s="45"/>
      <c r="F26" s="46"/>
    </row>
    <row r="27" spans="1:10" x14ac:dyDescent="0.25">
      <c r="A27" s="4"/>
      <c r="B27" s="4" t="s">
        <v>106</v>
      </c>
      <c r="C27" s="5" t="s">
        <v>15</v>
      </c>
      <c r="D27" s="44">
        <v>16.77</v>
      </c>
      <c r="E27" s="45"/>
      <c r="F27" s="46"/>
    </row>
    <row r="28" spans="1:10" x14ac:dyDescent="0.25">
      <c r="A28" s="4"/>
      <c r="B28" s="38" t="s">
        <v>107</v>
      </c>
      <c r="C28" s="5" t="s">
        <v>108</v>
      </c>
      <c r="D28" s="44">
        <v>1410.61</v>
      </c>
      <c r="E28" s="45"/>
      <c r="F28" s="46"/>
    </row>
    <row r="29" spans="1:10" ht="14.25" x14ac:dyDescent="0.25">
      <c r="A29" s="4"/>
      <c r="B29" s="47" t="s">
        <v>18</v>
      </c>
      <c r="C29" s="48"/>
      <c r="D29" s="48"/>
      <c r="E29" s="48"/>
      <c r="F29" s="49"/>
    </row>
    <row r="30" spans="1:10" x14ac:dyDescent="0.25">
      <c r="A30" s="4"/>
      <c r="B30" s="4" t="s">
        <v>104</v>
      </c>
      <c r="C30" s="5" t="s">
        <v>22</v>
      </c>
      <c r="D30" s="52">
        <f>1296.94*1.18</f>
        <v>1530.3892000000001</v>
      </c>
      <c r="E30" s="50"/>
      <c r="F30" s="51"/>
    </row>
    <row r="31" spans="1:10" x14ac:dyDescent="0.25">
      <c r="A31" s="4"/>
      <c r="B31" s="4" t="s">
        <v>105</v>
      </c>
      <c r="C31" s="5" t="s">
        <v>22</v>
      </c>
      <c r="D31" s="52">
        <v>1580.89</v>
      </c>
      <c r="E31" s="50"/>
      <c r="F31" s="51"/>
    </row>
    <row r="32" spans="1:10" ht="18" customHeight="1" x14ac:dyDescent="0.25">
      <c r="A32" s="4"/>
      <c r="B32" s="47" t="s">
        <v>19</v>
      </c>
      <c r="C32" s="48"/>
      <c r="D32" s="48"/>
      <c r="E32" s="48"/>
      <c r="F32" s="49"/>
    </row>
    <row r="33" spans="1:6" ht="18" customHeight="1" x14ac:dyDescent="0.25">
      <c r="A33" s="4"/>
      <c r="B33" s="4" t="s">
        <v>20</v>
      </c>
      <c r="C33" s="5" t="s">
        <v>23</v>
      </c>
      <c r="D33" s="44">
        <v>12.96</v>
      </c>
      <c r="E33" s="45"/>
      <c r="F33" s="46"/>
    </row>
    <row r="34" spans="1:6" ht="18" customHeight="1" x14ac:dyDescent="0.25">
      <c r="A34" s="4"/>
      <c r="B34" s="4" t="s">
        <v>105</v>
      </c>
      <c r="C34" s="5" t="s">
        <v>23</v>
      </c>
      <c r="D34" s="52">
        <v>14.9</v>
      </c>
      <c r="E34" s="50"/>
      <c r="F34" s="51"/>
    </row>
    <row r="35" spans="1:6" ht="18" customHeight="1" x14ac:dyDescent="0.25">
      <c r="A35" s="4"/>
      <c r="B35" s="47" t="s">
        <v>24</v>
      </c>
      <c r="C35" s="48"/>
      <c r="D35" s="48"/>
      <c r="E35" s="48"/>
      <c r="F35" s="49"/>
    </row>
    <row r="36" spans="1:6" ht="18" customHeight="1" x14ac:dyDescent="0.25">
      <c r="A36" s="4"/>
      <c r="B36" s="4" t="s">
        <v>29</v>
      </c>
      <c r="C36" s="5" t="s">
        <v>23</v>
      </c>
      <c r="D36" s="52">
        <v>3.3</v>
      </c>
      <c r="E36" s="50"/>
      <c r="F36" s="51"/>
    </row>
    <row r="38" spans="1:6" s="29" customFormat="1" x14ac:dyDescent="0.25">
      <c r="B38" s="29" t="s">
        <v>74</v>
      </c>
      <c r="C38" s="32">
        <f>D18</f>
        <v>231.82917</v>
      </c>
    </row>
    <row r="39" spans="1:6" s="29" customFormat="1" x14ac:dyDescent="0.25">
      <c r="B39" s="29" t="s">
        <v>75</v>
      </c>
      <c r="C39" s="32">
        <v>218</v>
      </c>
    </row>
    <row r="40" spans="1:6" s="29" customFormat="1" x14ac:dyDescent="0.25">
      <c r="B40" s="29" t="s">
        <v>76</v>
      </c>
      <c r="C40" s="32">
        <f>F18</f>
        <v>341.92917</v>
      </c>
    </row>
    <row r="41" spans="1:6" ht="25.5" x14ac:dyDescent="0.25">
      <c r="B41" s="30" t="s">
        <v>79</v>
      </c>
      <c r="C41" s="32">
        <f>C38-C40</f>
        <v>-110.1</v>
      </c>
    </row>
    <row r="42" spans="1:6" x14ac:dyDescent="0.25">
      <c r="B42" s="33" t="s">
        <v>109</v>
      </c>
      <c r="C42" s="32">
        <v>120.6</v>
      </c>
    </row>
  </sheetData>
  <mergeCells count="20">
    <mergeCell ref="A2:B2"/>
    <mergeCell ref="A1:G1"/>
    <mergeCell ref="B19:F19"/>
    <mergeCell ref="D20:F20"/>
    <mergeCell ref="D21:F21"/>
    <mergeCell ref="B22:F22"/>
    <mergeCell ref="D23:F23"/>
    <mergeCell ref="D24:F24"/>
    <mergeCell ref="B25:F25"/>
    <mergeCell ref="D26:F26"/>
    <mergeCell ref="D27:F27"/>
    <mergeCell ref="D28:F28"/>
    <mergeCell ref="B29:F29"/>
    <mergeCell ref="D30:F30"/>
    <mergeCell ref="D31:F31"/>
    <mergeCell ref="B32:F32"/>
    <mergeCell ref="D33:F33"/>
    <mergeCell ref="D34:F34"/>
    <mergeCell ref="B35:F35"/>
    <mergeCell ref="D36:F36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гаг8</vt:lpstr>
      <vt:lpstr>гаг11</vt:lpstr>
      <vt:lpstr>гаг12</vt:lpstr>
      <vt:lpstr>гаг14</vt:lpstr>
      <vt:lpstr>гаг15</vt:lpstr>
      <vt:lpstr>гаг16</vt:lpstr>
      <vt:lpstr>гаг17</vt:lpstr>
      <vt:lpstr>гаг18</vt:lpstr>
      <vt:lpstr>гаг21</vt:lpstr>
      <vt:lpstr>кирг8</vt:lpstr>
      <vt:lpstr>кирг14</vt:lpstr>
      <vt:lpstr>кирг20</vt:lpstr>
      <vt:lpstr>кирг21</vt:lpstr>
      <vt:lpstr>кирг23</vt:lpstr>
      <vt:lpstr>кирг24</vt:lpstr>
      <vt:lpstr>кирг25</vt:lpstr>
      <vt:lpstr>7арм6</vt:lpstr>
      <vt:lpstr>7арм9</vt:lpstr>
      <vt:lpstr>25окт37</vt:lpstr>
      <vt:lpstr>25окт41</vt:lpstr>
      <vt:lpstr>25окт46</vt:lpstr>
      <vt:lpstr>25окт50</vt:lpstr>
      <vt:lpstr>изот3</vt:lpstr>
      <vt:lpstr>изот3А</vt:lpstr>
      <vt:lpstr>изот3Б</vt:lpstr>
      <vt:lpstr>Конст3</vt:lpstr>
      <vt:lpstr>конст4</vt:lpstr>
      <vt:lpstr>конст5</vt:lpstr>
      <vt:lpstr>Рощ13</vt:lpstr>
      <vt:lpstr>рощ15</vt:lpstr>
      <vt:lpstr>рощ19</vt:lpstr>
      <vt:lpstr>рощ21</vt:lpstr>
      <vt:lpstr>круп8</vt:lpstr>
      <vt:lpstr>круп9</vt:lpstr>
      <vt:lpstr>подр11</vt:lpstr>
      <vt:lpstr>подр14</vt:lpstr>
      <vt:lpstr>подр16</vt:lpstr>
      <vt:lpstr>фил4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2019-04-15T11:36:39Z</dcterms:modified>
</cp:coreProperties>
</file>